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Q35" i="18" l="1"/>
  <c r="S29" i="18"/>
  <c r="N29" i="18" l="1"/>
  <c r="U28" i="18"/>
  <c r="AC15" i="33" l="1"/>
  <c r="C18" i="33"/>
  <c r="B18" i="33"/>
  <c r="N28" i="18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E18" i="33" l="1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<sst xmlns="http://schemas.openxmlformats.org/spreadsheetml/2006/main" count="8534" uniqueCount="4074">
  <si>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</si>
  <si>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</si>
  <si>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</si>
  <si>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</si>
  <si>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</si>
  <si>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</si>
  <si>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</si>
  <si>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</si>
  <si>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</si>
  <si>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</si>
  <si>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</si>
  <si>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</si>
  <si>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</si>
  <si>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</si>
  <si>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</si>
  <si>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</si>
  <si>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</si>
  <si>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</si>
  <si>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</si>
  <si>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</si>
  <si>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</si>
  <si>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</si>
  <si>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</si>
  <si>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</si>
  <si>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</si>
  <si>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</si>
  <si>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</si>
  <si>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</si>
  <si>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</si>
  <si>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</si>
  <si>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</si>
  <si>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</si>
  <si>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</si>
  <si>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</si>
  <si>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</si>
  <si>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</si>
  <si>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</si>
  <si>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</si>
  <si>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</si>
  <si>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</si>
  <si>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</si>
  <si>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</si>
  <si>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</si>
  <si>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</si>
  <si>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</si>
  <si>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</si>
  <si>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</si>
  <si>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</si>
  <si>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</si>
  <si>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</si>
  <si>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</si>
  <si>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</si>
  <si>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</si>
  <si>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</si>
  <si>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</si>
  <si>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</si>
  <si>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</si>
  <si>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</si>
  <si>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</si>
  <si>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</si>
  <si>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</si>
  <si>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</si>
  <si>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</si>
  <si>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</si>
  <si>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</si>
  <si>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</si>
  <si>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</si>
  <si>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</si>
  <si>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</si>
  <si>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</si>
  <si>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</si>
  <si>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</si>
  <si>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</si>
  <si>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</si>
  <si>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</si>
  <si>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</si>
  <si>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</si>
  <si>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</si>
  <si>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</si>
  <si>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</si>
  <si>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</si>
  <si>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</si>
  <si>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</si>
  <si>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</si>
  <si>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</si>
  <si>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</si>
  <si>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</si>
  <si>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</si>
  <si>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</si>
  <si>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</si>
  <si>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</si>
  <si>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</si>
  <si>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</si>
  <si>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</si>
  <si>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</si>
  <si>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</si>
  <si>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</si>
  <si>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</si>
  <si>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</si>
  <si>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</si>
  <si>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</si>
  <si>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</si>
  <si>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</si>
  <si>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</si>
  <si>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</si>
  <si>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</si>
  <si>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</si>
  <si>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</si>
  <si>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</si>
  <si>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</si>
  <si>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</si>
  <si>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</si>
  <si>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</si>
  <si>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</si>
  <si>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</si>
  <si>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</si>
  <si>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</si>
  <si>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</si>
  <si>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</si>
  <si>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</si>
  <si>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</si>
  <si>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</si>
  <si>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</si>
  <si>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</si>
  <si>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</si>
  <si>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</si>
  <si>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</si>
  <si>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</si>
  <si>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</si>
  <si>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</si>
  <si>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</si>
  <si>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</si>
  <si>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</si>
  <si>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</si>
  <si>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</si>
  <si>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</si>
  <si>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</si>
  <si>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</si>
  <si>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</si>
  <si>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</si>
  <si>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</si>
  <si>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</si>
  <si>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</si>
  <si>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</si>
  <si>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</si>
  <si>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</si>
  <si>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</si>
  <si>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</si>
  <si>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</si>
  <si>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</si>
  <si>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</si>
  <si>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</si>
  <si>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</si>
  <si>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</si>
  <si>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</si>
  <si>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</si>
  <si>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</si>
  <si>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</si>
  <si>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</si>
  <si>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</si>
  <si>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</si>
  <si>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</si>
  <si>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</si>
  <si>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</si>
  <si>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</si>
  <si>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</si>
  <si>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</si>
  <si>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</si>
  <si>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</si>
  <si>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</si>
  <si>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</si>
  <si>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</si>
  <si>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</si>
  <si>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</si>
  <si>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</si>
  <si>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</si>
  <si>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</si>
  <si>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</si>
  <si>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</si>
  <si>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</si>
  <si>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</si>
  <si>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</si>
  <si>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</si>
  <si>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</si>
  <si>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</si>
  <si>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</si>
  <si>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</si>
  <si>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</si>
  <si>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</si>
  <si>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</si>
  <si>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</si>
  <si>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</si>
  <si>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</si>
  <si>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</si>
  <si>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</si>
  <si>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</si>
  <si>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</si>
  <si>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</si>
  <si>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</si>
  <si>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</si>
  <si>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</si>
  <si>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</si>
  <si>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</si>
  <si>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</si>
  <si>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</si>
  <si>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</si>
  <si>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</si>
  <si>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</si>
  <si>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</si>
  <si>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</si>
  <si>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</si>
  <si>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</si>
  <si>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</si>
  <si>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</si>
  <si>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</si>
  <si>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</si>
  <si>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</si>
  <si>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</si>
  <si>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</si>
  <si>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</si>
  <si>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</si>
  <si>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</si>
  <si>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</si>
  <si>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</si>
  <si>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</si>
  <si>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</si>
  <si>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</si>
  <si>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</si>
  <si>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</si>
  <si>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</si>
  <si>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</si>
  <si>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</si>
  <si>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</si>
  <si>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</si>
  <si>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</si>
  <si>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</si>
  <si>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</si>
  <si>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</si>
  <si>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</si>
  <si>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</si>
  <si>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</si>
  <si>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</si>
  <si>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</si>
  <si>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</si>
  <si>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</si>
  <si>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</si>
  <si>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</si>
  <si>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</si>
  <si>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</si>
  <si>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</si>
  <si>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</si>
  <si>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</si>
  <si>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</si>
  <si>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</si>
  <si>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</si>
  <si>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</si>
  <si>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</si>
  <si>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</si>
  <si>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</si>
  <si>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</si>
  <si>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</si>
  <si>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</si>
  <si>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</si>
  <si>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</si>
  <si>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</si>
  <si>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</si>
  <si>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</si>
  <si>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</si>
  <si>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</si>
  <si>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</si>
  <si>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</si>
  <si>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</si>
  <si>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</si>
  <si>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</si>
  <si>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</si>
  <si>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</si>
  <si>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</si>
  <si>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</si>
  <si>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</si>
  <si>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</si>
  <si>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</si>
  <si>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</si>
  <si>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</si>
  <si>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</si>
  <si>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</si>
  <si>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</si>
  <si>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</si>
  <si>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</si>
  <si>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</si>
  <si>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</si>
  <si>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</si>
  <si>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</si>
  <si>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</si>
  <si>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</si>
  <si>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</si>
  <si>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</si>
  <si>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</si>
  <si>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</si>
  <si>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</si>
  <si>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</si>
  <si>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</si>
  <si>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</si>
  <si>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</si>
  <si>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</si>
  <si>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</si>
  <si>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</si>
  <si>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</si>
  <si>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</si>
  <si>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</si>
  <si>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</si>
  <si>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</si>
  <si>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</si>
  <si>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</si>
  <si>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</si>
  <si>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</si>
  <si>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</si>
  <si>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</si>
  <si>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</si>
  <si>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</si>
  <si>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</si>
  <si>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</si>
  <si>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</si>
  <si>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</si>
  <si>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</si>
  <si>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</si>
  <si>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</si>
  <si>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</si>
  <si>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</si>
  <si>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</si>
  <si>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</si>
  <si>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</si>
  <si>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</si>
  <si>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</si>
  <si>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</si>
  <si>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</si>
  <si>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</si>
  <si>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</si>
  <si>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</si>
  <si>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</si>
  <si>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</si>
  <si>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</si>
  <si>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</si>
  <si>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</si>
  <si>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</si>
  <si>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</si>
  <si>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</si>
  <si>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</si>
  <si>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</si>
  <si>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</si>
  <si>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</si>
  <si>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</si>
  <si>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</si>
  <si>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</si>
  <si>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</si>
  <si>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</si>
  <si>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</si>
  <si>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</si>
  <si>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</si>
  <si>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</si>
  <si>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</si>
  <si>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</si>
  <si>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</si>
  <si>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</si>
  <si>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</si>
  <si>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</si>
  <si>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</si>
  <si>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</si>
  <si>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</si>
  <si>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</si>
  <si>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</si>
  <si>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</si>
  <si>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</si>
  <si>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</si>
  <si>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</si>
  <si>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</si>
  <si>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</si>
  <si>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</si>
  <si>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</si>
  <si>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</si>
  <si>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</si>
  <si>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</si>
  <si>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</si>
  <si>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</si>
  <si>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</si>
  <si>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</si>
  <si>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</si>
  <si>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</si>
  <si>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</si>
  <si>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</si>
  <si>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</si>
  <si>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</si>
  <si>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</si>
  <si>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</si>
  <si>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</si>
  <si>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</si>
  <si>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</si>
  <si>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</si>
  <si>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</si>
  <si>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</si>
  <si>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</si>
  <si>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</si>
  <si>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</si>
  <si>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</si>
  <si>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</si>
  <si>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</si>
  <si>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</si>
  <si>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</si>
  <si>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</si>
  <si>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</si>
  <si>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</si>
  <si>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</si>
  <si>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</si>
  <si>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</si>
  <si>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</si>
  <si>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</si>
  <si>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</si>
  <si>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</si>
  <si>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</si>
  <si>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</si>
  <si>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</si>
  <si>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</si>
  <si>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</si>
  <si>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</si>
  <si>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</si>
  <si>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</si>
  <si>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</si>
  <si>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</si>
  <si>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</si>
  <si>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</si>
  <si>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</si>
  <si>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</si>
  <si>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</si>
  <si>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</si>
  <si>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</si>
  <si>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</si>
  <si>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</si>
  <si>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</si>
  <si>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</si>
  <si>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</si>
  <si>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</si>
  <si>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</si>
  <si>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</si>
  <si>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</si>
  <si>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</si>
  <si>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</si>
  <si>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</si>
  <si>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</si>
  <si>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</si>
  <si>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</si>
  <si>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</si>
  <si>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</si>
  <si>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</si>
  <si>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</si>
  <si>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</si>
  <si>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</si>
  <si>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</si>
  <si>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</si>
  <si>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</si>
  <si>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</si>
  <si>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</si>
  <si>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</si>
  <si>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</si>
  <si>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</si>
  <si>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</si>
  <si>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</si>
  <si>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</si>
  <si>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</si>
  <si>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</si>
  <si>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</si>
  <si>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</si>
  <si>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</si>
  <si>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</si>
  <si>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</si>
  <si>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</si>
  <si>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</si>
  <si>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</si>
  <si>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</si>
  <si>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</si>
  <si>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</si>
  <si>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</si>
  <si>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</si>
  <si>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</si>
  <si>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</si>
  <si>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</si>
  <si>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</si>
  <si>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</si>
  <si>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</si>
  <si>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</si>
  <si>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</si>
  <si>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</si>
  <si>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</si>
  <si>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</si>
  <si>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</si>
  <si>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</si>
  <si>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</si>
  <si>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</si>
  <si>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</si>
  <si>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</si>
  <si>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</si>
  <si>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</si>
  <si>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</si>
  <si>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</si>
  <si>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</si>
  <si>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</si>
  <si>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</si>
  <si>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</si>
  <si>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</si>
  <si>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</si>
  <si>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</si>
  <si>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</si>
  <si>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</si>
  <si>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</si>
  <si>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</si>
  <si>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</si>
  <si>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</si>
  <si>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</si>
  <si>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</si>
  <si>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</si>
  <si>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</si>
  <si>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</si>
  <si>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</si>
  <si>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</si>
  <si>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</si>
  <si>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</si>
  <si>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</si>
  <si>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</si>
  <si>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</si>
  <si>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</si>
  <si>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</si>
  <si>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</si>
  <si>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</si>
  <si>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</si>
  <si>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</si>
  <si>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</si>
  <si>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</si>
  <si>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</si>
  <si>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</si>
  <si>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</si>
  <si>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</si>
  <si>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</si>
  <si>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</si>
  <si>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</si>
  <si>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</si>
  <si>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</si>
  <si>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</si>
  <si>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</si>
  <si>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</si>
  <si>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</si>
  <si>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</si>
  <si>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</si>
  <si>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</si>
  <si>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</si>
  <si>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</si>
  <si>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</si>
  <si>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</si>
  <si>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</si>
  <si>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</si>
  <si>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</si>
  <si>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</si>
  <si>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</si>
  <si>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</si>
  <si>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</si>
  <si>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</si>
  <si>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</si>
  <si>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</si>
  <si>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</si>
  <si>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</si>
  <si>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</si>
  <si>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</si>
  <si>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</si>
  <si>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</si>
  <si>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</si>
  <si>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</si>
  <si>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</si>
  <si>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</si>
  <si>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</si>
  <si>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</si>
  <si>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</si>
  <si>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</si>
  <si>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</si>
  <si>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</si>
  <si>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</si>
  <si>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</si>
  <si>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</si>
  <si>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</si>
  <si>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</si>
  <si>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</si>
  <si>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</si>
  <si>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</si>
  <si>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</si>
  <si>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</si>
  <si>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</si>
  <si>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</si>
  <si>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</si>
  <si>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</si>
  <si>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</si>
  <si>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</si>
  <si>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</si>
  <si>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</si>
  <si>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</si>
  <si>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</si>
  <si>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</si>
  <si>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</si>
  <si>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</si>
  <si>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</si>
  <si>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</si>
  <si>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</si>
  <si>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</si>
  <si>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</si>
  <si>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</si>
  <si>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</si>
  <si>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</si>
  <si>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</si>
  <si>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</si>
  <si>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</si>
  <si>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</si>
  <si>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</si>
  <si>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</si>
  <si>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</si>
  <si>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</si>
  <si>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</si>
  <si>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</si>
  <si>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</si>
  <si>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</si>
  <si>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</si>
  <si>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</si>
  <si>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</si>
  <si>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</si>
  <si>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</si>
  <si>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</si>
  <si>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</si>
  <si>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</si>
  <si>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</si>
  <si>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</si>
  <si>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</si>
  <si>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</si>
  <si>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</si>
  <si>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</si>
  <si>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</si>
  <si>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</si>
  <si>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</si>
  <si>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</si>
  <si>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</si>
  <si>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</si>
  <si>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</si>
  <si>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</si>
  <si>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</si>
  <si>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</si>
  <si>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</si>
  <si>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</si>
  <si>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</si>
  <si>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</si>
  <si>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</si>
  <si>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</si>
  <si>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</si>
  <si>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</si>
  <si>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</si>
  <si>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</si>
  <si>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</si>
  <si>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</si>
  <si>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</si>
  <si>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</si>
  <si>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</si>
  <si>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</si>
  <si>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</si>
  <si>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</si>
  <si>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</si>
  <si>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</si>
  <si>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</si>
  <si>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</si>
  <si>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</si>
  <si>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</si>
  <si>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</si>
  <si>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</si>
  <si>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</si>
  <si>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</si>
  <si>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</si>
  <si>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</si>
  <si>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</si>
  <si>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</si>
  <si>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</si>
  <si>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</si>
  <si>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</si>
  <si>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</si>
  <si>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</si>
  <si>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</si>
  <si>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</si>
  <si>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</si>
  <si>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</si>
  <si>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</si>
  <si>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</si>
  <si>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</si>
  <si>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</si>
  <si>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</si>
  <si>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</si>
  <si>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</si>
  <si>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</si>
  <si>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</si>
  <si>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</si>
  <si>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</si>
  <si>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</si>
  <si>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</si>
  <si>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</si>
  <si>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</si>
  <si>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</si>
  <si>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</si>
  <si>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</si>
  <si>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</si>
  <si>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</si>
  <si>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</si>
  <si>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</si>
  <si>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</si>
  <si>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</si>
  <si>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</si>
  <si>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</si>
  <si>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</si>
  <si>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</si>
  <si>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</si>
  <si>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</si>
  <si>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</si>
  <si>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</si>
  <si>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</si>
  <si>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</si>
  <si>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</si>
  <si>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</si>
  <si>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</si>
  <si>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</si>
  <si>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</si>
  <si>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</si>
  <si>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</si>
  <si>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</si>
  <si>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</si>
  <si>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</si>
  <si>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</si>
  <si>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</si>
  <si>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</si>
  <si>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</si>
  <si>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</si>
  <si>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</si>
  <si>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</si>
  <si>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</si>
  <si>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</si>
  <si>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</si>
  <si>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</si>
  <si>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</si>
  <si>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</si>
  <si>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</si>
  <si>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</si>
  <si>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</si>
  <si>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</si>
  <si>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</si>
  <si>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</si>
  <si>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</si>
  <si>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</si>
  <si>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</si>
  <si>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</si>
  <si>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</si>
  <si>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</si>
  <si>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</si>
  <si>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</si>
  <si>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</si>
  <si>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</si>
  <si>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</si>
  <si>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</si>
  <si>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</si>
  <si>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</si>
  <si>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</si>
  <si>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</si>
  <si>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</si>
  <si>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</si>
  <si>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</si>
  <si>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</si>
  <si>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</si>
  <si>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</si>
  <si>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</si>
  <si>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</si>
  <si>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</si>
  <si>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</si>
  <si>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</si>
  <si>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</si>
  <si>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</si>
  <si>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</si>
  <si>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</si>
  <si>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</si>
  <si>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</si>
  <si>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</si>
  <si>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</si>
  <si>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</si>
  <si>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</si>
  <si>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</si>
  <si>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</si>
  <si>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</si>
  <si>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</si>
  <si>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</si>
  <si>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</si>
  <si>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</si>
  <si>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</si>
  <si>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</si>
  <si>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</si>
  <si>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</si>
  <si>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</si>
  <si>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</si>
  <si>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</si>
  <si>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</si>
  <si>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</si>
  <si>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</si>
  <si>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</si>
  <si>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</si>
  <si>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</si>
  <si>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</si>
  <si>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</si>
  <si>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</si>
  <si>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</si>
  <si>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</si>
  <si>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</si>
  <si>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</si>
  <si>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</si>
  <si>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</si>
  <si>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</si>
  <si>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</si>
  <si>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</si>
  <si>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</si>
  <si>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</si>
  <si>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</si>
  <si>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</si>
  <si>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</si>
  <si>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</si>
  <si>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</si>
  <si>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</si>
  <si>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</si>
  <si>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</si>
  <si>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</si>
  <si>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</si>
  <si>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</si>
  <si>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</si>
  <si>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</si>
  <si>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</si>
  <si>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</si>
  <si>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</si>
  <si>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</si>
  <si>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</si>
  <si>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</si>
  <si>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</si>
  <si>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</si>
  <si>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</si>
  <si>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</si>
  <si>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</si>
  <si>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</si>
  <si>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</si>
  <si>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</si>
  <si>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</si>
  <si>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</si>
  <si>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</si>
  <si>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</si>
  <si>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</si>
  <si>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</si>
  <si>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</si>
  <si>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</si>
  <si>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</si>
  <si>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</si>
  <si>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</si>
  <si>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</si>
  <si>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</si>
  <si>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</si>
  <si>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</si>
  <si>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</si>
  <si>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</si>
  <si>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</si>
  <si>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</si>
  <si>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</si>
  <si>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</si>
  <si>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</si>
  <si>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</si>
  <si>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</si>
  <si>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</si>
  <si>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</si>
  <si>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</si>
  <si>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</si>
  <si>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</si>
  <si>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</si>
  <si>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</si>
  <si>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</si>
  <si>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</si>
  <si>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</si>
  <si>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</si>
  <si>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</si>
  <si>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</si>
  <si>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</si>
  <si>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</si>
  <si>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</si>
  <si>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</si>
  <si>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</si>
  <si>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</si>
  <si>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</si>
  <si>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</si>
  <si>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</si>
  <si>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</si>
  <si>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</si>
  <si>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</si>
  <si>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</si>
  <si>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</si>
  <si>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</si>
  <si>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</si>
  <si>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</si>
  <si>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</si>
  <si>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</si>
  <si>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</si>
  <si>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</si>
  <si>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</si>
  <si>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</si>
  <si>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</si>
  <si>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</si>
  <si>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</si>
  <si>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</si>
  <si>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</si>
  <si>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</si>
  <si>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</si>
  <si>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</si>
  <si>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</si>
  <si>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</si>
  <si>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</si>
  <si>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</si>
  <si>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</si>
  <si>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</si>
  <si>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</si>
  <si>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</si>
  <si>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</si>
  <si>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</si>
  <si>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</si>
  <si>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</si>
  <si>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</si>
  <si>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</si>
  <si>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</si>
  <si>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</si>
  <si>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</si>
  <si>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</si>
  <si>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</si>
  <si>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</si>
  <si>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</si>
  <si>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</si>
  <si>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</si>
  <si>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</si>
  <si>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</si>
  <si>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</si>
  <si>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</si>
  <si>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</si>
  <si>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</si>
  <si>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</si>
  <si>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</si>
  <si>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</si>
  <si>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</si>
  <si>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</si>
  <si>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</si>
  <si>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</si>
  <si>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</si>
  <si>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</si>
  <si>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</si>
  <si>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</si>
  <si>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</si>
  <si>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</si>
  <si>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</si>
  <si>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</si>
  <si>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</si>
  <si>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</si>
  <si>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</si>
  <si>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</si>
  <si>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</si>
  <si>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</si>
  <si>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</si>
  <si>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</si>
  <si>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</si>
  <si>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</si>
  <si>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</si>
  <si>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</si>
  <si>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</si>
  <si>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</si>
  <si>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</si>
  <si>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</si>
  <si>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</si>
  <si>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</si>
  <si>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</si>
  <si>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</si>
  <si>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</si>
  <si>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</si>
  <si>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</si>
  <si>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</si>
  <si>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</si>
  <si>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</si>
  <si>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</si>
  <si>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</si>
  <si>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</si>
  <si>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</si>
  <si>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</si>
  <si>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</si>
  <si>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</si>
  <si>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</si>
  <si>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</si>
  <si>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</si>
  <si>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</si>
  <si>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</si>
  <si>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</si>
  <si>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</si>
  <si>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</si>
  <si>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</si>
  <si>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</si>
  <si>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</si>
  <si>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</si>
  <si>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</si>
  <si>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</si>
  <si>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</si>
  <si>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</si>
  <si>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</si>
  <si>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</si>
  <si>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</si>
  <si>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</si>
  <si>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</si>
  <si>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</si>
  <si>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</si>
  <si>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</si>
  <si>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</si>
  <si>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</si>
  <si>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</si>
  <si>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</si>
  <si>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</si>
  <si>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</si>
  <si>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</si>
  <si>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</si>
  <si>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</si>
  <si>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</si>
  <si>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</si>
  <si>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</si>
  <si>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</si>
  <si>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</si>
  <si>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</si>
  <si>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</si>
  <si>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</si>
  <si>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</si>
  <si>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</si>
  <si>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</si>
  <si>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</si>
  <si>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</si>
  <si>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</si>
  <si>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</si>
  <si>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</si>
  <si>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</si>
  <si>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</si>
  <si>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</si>
  <si>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</si>
  <si>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</si>
  <si>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</si>
  <si>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</si>
  <si>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</si>
  <si>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</si>
  <si>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</si>
  <si>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</si>
  <si>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</si>
  <si>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</si>
  <si>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</si>
  <si>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</si>
  <si>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</si>
  <si>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</si>
  <si>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</si>
  <si>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</si>
  <si>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</si>
  <si>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</si>
  <si>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</si>
  <si>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</si>
  <si>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</si>
  <si>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</si>
  <si>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</si>
  <si>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</si>
  <si>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</si>
  <si>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</si>
  <si>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</si>
  <si>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</si>
  <si>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</si>
  <si>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</si>
  <si>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</si>
  <si>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</si>
  <si>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</si>
  <si>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</si>
  <si>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</si>
  <si>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</si>
  <si>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</si>
  <si>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</si>
  <si>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</si>
  <si>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</si>
  <si>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</si>
  <si>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</si>
  <si>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</si>
  <si>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</si>
  <si>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</si>
  <si>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</si>
  <si>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</si>
  <si>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</si>
  <si>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</si>
  <si>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</si>
  <si>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</si>
  <si>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</si>
  <si>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</si>
  <si>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</si>
  <si>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</si>
  <si>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</si>
  <si>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</si>
  <si>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</si>
  <si>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</si>
  <si>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</si>
  <si>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</si>
  <si>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</si>
  <si>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</si>
  <si>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</si>
  <si>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</si>
  <si>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</si>
  <si>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</si>
  <si>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</si>
  <si>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</si>
  <si>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</si>
  <si>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</si>
  <si>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</si>
  <si>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</si>
  <si>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</si>
  <si>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</si>
  <si>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</si>
  <si>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</si>
  <si>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</si>
  <si>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</si>
  <si>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</si>
  <si>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</si>
  <si>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</si>
  <si>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</si>
  <si>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</si>
  <si>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</si>
  <si>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</si>
  <si>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</si>
  <si>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</si>
  <si>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</si>
  <si>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</si>
  <si>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</si>
  <si>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</si>
  <si>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</si>
  <si>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</si>
  <si>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</si>
  <si>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</si>
  <si>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</si>
  <si>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</si>
  <si>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</si>
  <si>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</si>
  <si>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</si>
  <si>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</si>
  <si>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</si>
  <si>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</si>
  <si>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</si>
  <si>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</si>
  <si>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</si>
  <si>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</si>
  <si>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</si>
  <si>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</si>
  <si>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</si>
  <si>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</si>
  <si>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</si>
  <si>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</si>
  <si>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</si>
  <si>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</si>
  <si>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</si>
  <si>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</si>
  <si>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</si>
  <si>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</si>
  <si>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</si>
  <si>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</si>
  <si>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</si>
  <si>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</si>
  <si>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</si>
  <si>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</si>
  <si>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</si>
  <si>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</si>
  <si>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</si>
  <si>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</si>
  <si>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</si>
  <si>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</si>
  <si>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</si>
  <si>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</si>
  <si>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</si>
  <si>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</si>
  <si>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</si>
  <si>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</si>
  <si>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</si>
  <si>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</si>
  <si>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</si>
  <si>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</si>
  <si>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</si>
  <si>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</si>
  <si>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</si>
  <si>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</si>
  <si>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</si>
  <si>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</si>
  <si>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</si>
  <si>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</si>
  <si>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</si>
  <si>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</si>
  <si>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</si>
  <si>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</si>
  <si>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</si>
  <si>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</si>
  <si>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</si>
  <si>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</si>
  <si>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</si>
  <si>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</si>
  <si>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</si>
  <si>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</si>
  <si>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</si>
  <si>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</si>
  <si>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</si>
  <si>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</si>
  <si>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</si>
  <si>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</si>
  <si>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</si>
  <si>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</si>
  <si>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</si>
  <si>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</si>
  <si>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</si>
  <si>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</si>
  <si>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</si>
  <si>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</si>
  <si>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</si>
  <si>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</si>
  <si>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</si>
  <si>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</si>
  <si>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</si>
  <si>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</si>
  <si>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</si>
  <si>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</si>
  <si>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</si>
  <si>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</si>
  <si>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</si>
  <si>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</si>
  <si>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</si>
  <si>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</si>
  <si>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</si>
  <si>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</si>
  <si>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</si>
  <si>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</si>
  <si>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</si>
  <si>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</si>
  <si>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</si>
  <si>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</si>
  <si>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</si>
  <si>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</si>
  <si>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</si>
  <si>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</si>
  <si>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</si>
  <si>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</si>
  <si>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</si>
  <si>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</si>
  <si>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</si>
  <si>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</si>
  <si>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</si>
  <si>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</si>
  <si>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</si>
  <si>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</si>
  <si>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</si>
  <si>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</si>
  <si>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</si>
  <si>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</si>
  <si>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</si>
  <si>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</si>
  <si>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</si>
  <si>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</si>
  <si>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</si>
  <si>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</si>
  <si>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</si>
  <si>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</si>
  <si>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</si>
  <si>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</si>
  <si>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</si>
  <si>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</si>
  <si>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</si>
  <si>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</si>
  <si>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</si>
  <si>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</si>
  <si>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</si>
  <si>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</si>
  <si>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</si>
  <si>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</si>
  <si>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</si>
  <si>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</si>
  <si>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</si>
  <si>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</si>
  <si>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</si>
  <si>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</si>
  <si>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</si>
  <si>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</si>
  <si>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</si>
  <si>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</si>
  <si>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</si>
  <si>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</si>
  <si>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</si>
  <si>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</si>
  <si>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</si>
  <si>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</si>
  <si>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</si>
  <si>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</si>
  <si>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</si>
  <si>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</si>
  <si>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</si>
  <si>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</si>
  <si>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</si>
  <si>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</si>
  <si>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</si>
  <si>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</si>
  <si>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</si>
  <si>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</si>
  <si>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</si>
  <si>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</si>
  <si>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</si>
  <si>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</si>
  <si>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</si>
  <si>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</si>
  <si>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</si>
  <si>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</si>
  <si>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</si>
  <si>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</si>
  <si>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</si>
  <si>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</si>
  <si>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</si>
  <si>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</si>
  <si>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</si>
  <si>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</si>
  <si>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</si>
  <si>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</si>
  <si>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</si>
  <si>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</si>
  <si>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</si>
  <si>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</si>
  <si>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</si>
  <si>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</si>
  <si>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</si>
  <si>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</si>
  <si>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</si>
  <si>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</si>
  <si>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</si>
  <si>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</si>
  <si>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</si>
  <si>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</si>
  <si>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</si>
  <si>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</si>
  <si>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</si>
  <si>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</si>
  <si>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</si>
  <si>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</si>
  <si>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</si>
  <si>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</si>
  <si>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</si>
  <si>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</si>
  <si>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</si>
  <si>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</si>
  <si>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</si>
  <si>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</si>
  <si>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</si>
  <si>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</si>
  <si>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</si>
  <si>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</si>
  <si>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</si>
  <si>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</si>
  <si>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</si>
  <si>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</si>
  <si>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</si>
  <si>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</si>
  <si>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</si>
  <si>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</si>
  <si>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</si>
  <si>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</si>
  <si>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</si>
  <si>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</si>
  <si>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</si>
  <si>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</si>
  <si>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</si>
  <si>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</si>
  <si>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</si>
  <si>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</si>
  <si>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</si>
  <si>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</si>
  <si>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</si>
  <si>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</si>
  <si>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</si>
  <si>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</si>
  <si>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</si>
  <si>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</si>
  <si>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</si>
  <si>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</si>
  <si>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</si>
  <si>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</si>
  <si>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</si>
  <si>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</si>
  <si>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</si>
  <si>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</si>
  <si>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</si>
  <si>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</si>
  <si>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</si>
  <si>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</si>
  <si>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</si>
  <si>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</si>
  <si>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</si>
  <si>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</si>
  <si>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</si>
  <si>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</si>
  <si>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</si>
  <si>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</si>
  <si>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</si>
  <si>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</si>
  <si>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</si>
  <si>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</si>
  <si>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</si>
  <si>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</si>
  <si>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</si>
  <si>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</si>
  <si>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</si>
  <si>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</si>
  <si>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</si>
  <si>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</si>
  <si>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</si>
  <si>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</si>
  <si>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</si>
  <si>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</si>
  <si>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</si>
  <si>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</si>
  <si>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</si>
  <si>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</si>
  <si>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</si>
  <si>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</si>
  <si>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</si>
  <si>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</si>
  <si>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</si>
  <si>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</si>
  <si>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</si>
  <si>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</si>
  <si>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</si>
  <si>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</si>
  <si>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</si>
  <si>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</si>
  <si>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</si>
  <si>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</si>
  <si>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</si>
  <si>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</si>
  <si>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</si>
  <si>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</si>
  <si>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</si>
  <si>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</si>
  <si>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</si>
  <si>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</si>
  <si>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</si>
  <si>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</si>
  <si>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</si>
  <si>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</si>
  <si>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</si>
  <si>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</si>
  <si>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</si>
  <si>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</si>
  <si>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</si>
  <si>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</si>
  <si>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</si>
  <si>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</si>
  <si>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</si>
  <si>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</si>
  <si>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</si>
  <si>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</si>
  <si>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</si>
  <si>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</si>
  <si>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</si>
  <si>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</si>
  <si>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</si>
  <si>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</si>
  <si>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</si>
  <si>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</si>
  <si>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</si>
  <si>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</si>
  <si>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</si>
  <si>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</si>
  <si>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</si>
  <si>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</si>
  <si>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</si>
  <si>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</si>
  <si>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</si>
  <si>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</si>
  <si>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</si>
  <si>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</si>
  <si>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</si>
  <si>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</si>
  <si>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</si>
  <si>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</si>
  <si>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</si>
  <si>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</si>
  <si>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</si>
  <si>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</si>
  <si>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</si>
  <si>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</si>
  <si>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</si>
  <si>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</si>
  <si>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</si>
  <si>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</si>
  <si>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</si>
  <si>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</si>
  <si>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</si>
  <si>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</si>
  <si>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</si>
  <si>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</si>
  <si>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</si>
  <si>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</si>
  <si>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</si>
  <si>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</si>
  <si>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</si>
  <si>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</si>
  <si>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</si>
  <si>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</si>
  <si>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</si>
  <si>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</si>
  <si>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</si>
  <si>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</si>
  <si>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</si>
  <si>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</si>
  <si>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</si>
  <si>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</si>
  <si>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</si>
  <si>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</si>
  <si>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</si>
  <si>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</si>
  <si>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</si>
  <si>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</si>
  <si>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</si>
  <si>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</si>
  <si>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</si>
  <si>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</si>
  <si>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</si>
  <si>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</si>
  <si>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</si>
  <si>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</si>
  <si>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</si>
  <si>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</si>
  <si>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</si>
  <si>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</si>
  <si>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</si>
  <si>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</si>
  <si>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</si>
  <si>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</si>
  <si>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</si>
  <si>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</si>
  <si>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</si>
  <si>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</si>
  <si>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</si>
  <si>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</si>
  <si>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</si>
  <si>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</si>
  <si>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</si>
  <si>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</si>
  <si>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</si>
  <si>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</si>
  <si>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</si>
  <si>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</si>
  <si>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</si>
  <si>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</si>
  <si>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</si>
  <si>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</si>
  <si>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</si>
  <si>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</si>
  <si>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</si>
  <si>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</si>
  <si>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</si>
  <si>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</si>
  <si>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</si>
  <si>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</si>
  <si>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</si>
  <si>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</si>
  <si>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</si>
  <si>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</si>
  <si>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</si>
  <si>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</si>
  <si>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</si>
  <si>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</si>
  <si>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</si>
  <si>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</si>
  <si>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</si>
  <si>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</si>
  <si>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</si>
  <si>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</si>
  <si>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</si>
  <si>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</si>
  <si>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</si>
  <si>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</si>
  <si>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</si>
  <si>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</si>
  <si>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</si>
  <si>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</si>
  <si>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</si>
  <si>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</si>
  <si>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</si>
  <si>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</si>
  <si>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</si>
  <si>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</si>
  <si>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</si>
  <si>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</si>
  <si>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</si>
  <si>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</si>
  <si>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</si>
  <si>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</si>
  <si>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</si>
  <si>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</si>
  <si>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</si>
  <si>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</si>
  <si>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</si>
  <si>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</si>
  <si>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</si>
  <si>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</si>
  <si>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</si>
  <si>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</si>
  <si>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</si>
  <si>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</si>
  <si>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</si>
  <si>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</si>
  <si>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</si>
  <si>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</si>
  <si>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</si>
  <si>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</si>
  <si>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</si>
  <si>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</si>
  <si>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</si>
  <si>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</si>
  <si>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</si>
  <si>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</si>
  <si>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</si>
  <si>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</si>
  <si>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</si>
  <si>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</si>
  <si>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</si>
  <si>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</si>
  <si>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</si>
  <si>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</si>
  <si>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</si>
  <si>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</si>
  <si>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</si>
  <si>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</si>
  <si>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</si>
  <si>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</si>
  <si>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</si>
  <si>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</si>
  <si>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</si>
  <si>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</si>
  <si>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</si>
  <si>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</si>
  <si>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</si>
  <si>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</si>
  <si>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</si>
  <si>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</si>
  <si>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</si>
  <si>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</si>
  <si>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</si>
  <si>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</si>
  <si>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</si>
  <si>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</si>
  <si>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</si>
  <si>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</si>
  <si>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</si>
  <si>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</si>
  <si>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</si>
  <si>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</si>
  <si>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</si>
  <si>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</si>
  <si>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</si>
  <si>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</si>
  <si>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</si>
  <si>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</si>
  <si>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</si>
  <si>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</si>
  <si>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</si>
  <si>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</si>
  <si>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</si>
  <si>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</si>
  <si>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</si>
  <si>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</si>
  <si>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</si>
  <si>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</si>
  <si>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</si>
  <si>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</si>
  <si>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</si>
  <si>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</si>
  <si>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</si>
  <si>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</si>
  <si>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</si>
  <si>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</si>
  <si>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</si>
  <si>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</si>
  <si>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</si>
  <si>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</si>
  <si>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</si>
  <si>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</si>
  <si>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</si>
  <si>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</si>
  <si>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</si>
  <si>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</si>
  <si>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</si>
  <si>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</si>
  <si>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</si>
  <si>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</si>
  <si>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</si>
  <si>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</si>
  <si>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</si>
  <si>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</si>
  <si>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</si>
  <si>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</si>
  <si>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</si>
  <si>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</si>
  <si>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</si>
  <si>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</si>
  <si>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</si>
  <si>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</si>
  <si>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</si>
  <si>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</si>
  <si>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</si>
  <si>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</si>
  <si>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</si>
  <si>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</si>
  <si>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</si>
  <si>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</si>
  <si>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</si>
  <si>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</si>
  <si>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</si>
  <si>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</si>
  <si>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</si>
  <si>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</si>
  <si>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</si>
  <si>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</si>
  <si>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</si>
  <si>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</si>
  <si>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</si>
  <si>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</si>
  <si>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</si>
  <si>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</si>
  <si>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</si>
  <si>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</si>
  <si>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</si>
  <si>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</si>
  <si>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</si>
  <si>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</si>
  <si>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</si>
  <si>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</si>
  <si>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</si>
  <si>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</si>
  <si>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</si>
  <si>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</si>
  <si>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</si>
  <si>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</si>
  <si>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</si>
  <si>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</si>
  <si>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</si>
  <si>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</si>
  <si>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</si>
  <si>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</si>
  <si>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</si>
  <si>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</si>
  <si>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</si>
  <si>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</si>
  <si>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</si>
  <si>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</si>
  <si>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</si>
  <si>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</si>
  <si>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</si>
  <si>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</si>
  <si>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</si>
  <si>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</si>
  <si>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</si>
  <si>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</si>
  <si>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</si>
  <si>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</si>
  <si>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</si>
  <si>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</si>
  <si>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</si>
  <si>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</si>
  <si>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</si>
  <si>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</si>
  <si>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</si>
  <si>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</si>
  <si>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</si>
  <si>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</si>
  <si>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</si>
  <si>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</si>
  <si>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</si>
  <si>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</si>
  <si>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</si>
  <si>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</si>
  <si>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</si>
  <si>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</si>
  <si>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</si>
  <si>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</si>
  <si>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</si>
  <si>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</si>
  <si>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</si>
  <si>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</si>
  <si>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</si>
  <si>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</si>
  <si>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</si>
  <si>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</si>
  <si>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</si>
  <si>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</si>
  <si>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</si>
  <si>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</si>
  <si>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</si>
  <si>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</si>
  <si>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</si>
  <si>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</si>
  <si>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</si>
  <si>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</si>
  <si>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</si>
  <si>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</si>
  <si>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</si>
  <si>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</si>
  <si>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</si>
  <si>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</si>
  <si>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</si>
  <si>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</si>
  <si>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</si>
  <si>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</si>
  <si>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</si>
  <si>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</si>
  <si>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</si>
  <si>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</si>
  <si>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</si>
  <si>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</si>
  <si>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</si>
  <si>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</si>
  <si>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</si>
  <si>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</si>
  <si>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</si>
  <si>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</si>
  <si>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</si>
  <si>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</si>
  <si>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</si>
  <si>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</si>
  <si>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</si>
  <si>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</si>
  <si>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</si>
  <si>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</si>
  <si>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</si>
  <si>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</si>
  <si>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</si>
  <si>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</si>
  <si>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</si>
  <si>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</si>
  <si>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</si>
  <si>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</si>
  <si>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</si>
  <si>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</si>
  <si>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</si>
  <si>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</si>
  <si>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</si>
  <si>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</si>
  <si>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</si>
  <si>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</si>
  <si>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</si>
  <si>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</si>
  <si>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</si>
  <si>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</si>
  <si>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</si>
  <si>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</si>
  <si>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</si>
  <si>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</si>
  <si>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</si>
  <si>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</si>
  <si>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</si>
  <si>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</si>
  <si>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</si>
  <si>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</si>
  <si>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</si>
  <si>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</si>
  <si>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</si>
  <si>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</si>
  <si>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</si>
  <si>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</si>
  <si>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</si>
  <si>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</si>
  <si>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</si>
  <si>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</si>
  <si>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</si>
  <si>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</si>
  <si>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</si>
  <si>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</si>
  <si>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</si>
  <si>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</si>
  <si>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</si>
  <si>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</si>
  <si>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</si>
  <si>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</si>
  <si>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</si>
  <si>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</si>
  <si>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</si>
  <si>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</si>
  <si>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</si>
  <si>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</si>
  <si>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</si>
  <si>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</si>
  <si>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</si>
  <si>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</si>
  <si>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</si>
  <si>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</si>
  <si>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</si>
  <si>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</si>
  <si>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</si>
  <si>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</si>
  <si>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</si>
  <si>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</si>
  <si>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</si>
  <si>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</si>
  <si>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</si>
  <si>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</si>
  <si>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</si>
  <si>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</si>
  <si>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</si>
  <si>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</si>
  <si>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</si>
  <si>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</si>
  <si>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</si>
  <si>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</si>
  <si>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</si>
  <si>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</si>
  <si>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</si>
  <si>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</si>
  <si>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</si>
  <si>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</si>
  <si>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</si>
  <si>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</si>
  <si>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</si>
  <si>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</si>
  <si>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</si>
  <si>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</si>
  <si>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</si>
  <si>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</si>
  <si>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</si>
  <si>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</si>
  <si>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</si>
  <si>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</si>
  <si>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</si>
  <si>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</si>
  <si>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</si>
  <si>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</si>
  <si>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</si>
  <si>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</si>
  <si>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</si>
  <si>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</si>
  <si>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</si>
  <si>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</si>
  <si>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</si>
  <si>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</si>
  <si>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</si>
  <si>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</si>
  <si>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</si>
  <si>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</si>
  <si>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</si>
  <si>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</si>
  <si>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</si>
  <si>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</si>
  <si>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</si>
  <si>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</si>
  <si>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</si>
  <si>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</si>
  <si>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</si>
  <si>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</si>
  <si>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</si>
  <si>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</si>
  <si>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</si>
  <si>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</si>
  <si>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</si>
  <si>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</si>
  <si>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</si>
  <si>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</si>
  <si>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</si>
  <si>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</si>
  <si>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</si>
  <si>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</si>
  <si>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</si>
  <si>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</si>
  <si>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</si>
  <si>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</si>
  <si>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</si>
  <si>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</si>
  <si>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</si>
  <si>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</si>
  <si>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</si>
  <si>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</si>
  <si>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</si>
  <si>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</si>
  <si>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</si>
  <si>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</si>
  <si>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</si>
  <si>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</si>
  <si>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</si>
  <si>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</si>
  <si>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</si>
  <si>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</si>
  <si>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</si>
  <si>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</si>
  <si>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</si>
  <si>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</si>
  <si>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</si>
  <si>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</si>
  <si>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</si>
  <si>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</si>
  <si>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</si>
  <si>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</si>
  <si>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</si>
  <si>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</si>
  <si>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</si>
  <si>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</si>
  <si>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</si>
  <si>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</si>
  <si>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</si>
  <si>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</si>
  <si>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</si>
  <si>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</si>
  <si>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</si>
  <si>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</si>
  <si>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</si>
  <si>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</si>
  <si>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</si>
  <si>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</si>
  <si>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</si>
  <si>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</si>
  <si>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</si>
  <si>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</si>
  <si>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</si>
  <si>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</si>
  <si>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</si>
  <si>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</si>
  <si>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</si>
  <si>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</si>
  <si>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</si>
  <si>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</si>
  <si>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</si>
  <si>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</si>
  <si>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</si>
  <si>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</si>
  <si>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</si>
  <si>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</si>
  <si>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</si>
  <si>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</si>
  <si>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</si>
  <si>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</si>
  <si>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</si>
  <si>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</si>
  <si>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</si>
  <si>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</si>
  <si>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</si>
  <si>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</si>
  <si>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</si>
  <si>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</si>
  <si>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</si>
  <si>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</si>
  <si>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</si>
  <si>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</si>
  <si>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</si>
  <si>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</si>
  <si>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</si>
  <si>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</si>
  <si>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</si>
  <si>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</si>
  <si>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</si>
  <si>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</si>
  <si>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</si>
  <si>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</si>
  <si>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</si>
  <si>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</si>
  <si>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</si>
  <si>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</si>
  <si>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</si>
  <si>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</si>
  <si>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</si>
  <si>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</si>
  <si>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</si>
  <si>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</si>
  <si>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</si>
  <si>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</si>
  <si>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</si>
  <si>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</si>
  <si>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</si>
  <si>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</si>
  <si>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</si>
  <si>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</si>
  <si>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</si>
  <si>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</si>
  <si>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</si>
  <si>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</si>
  <si>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</si>
  <si>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</si>
  <si>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</si>
  <si>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</si>
  <si>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</si>
  <si>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</si>
  <si>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</si>
  <si>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</si>
  <si>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</si>
  <si>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</si>
  <si>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</si>
  <si>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</si>
  <si>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</si>
  <si>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</si>
  <si>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</si>
  <si>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</si>
  <si>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</si>
  <si>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</si>
  <si>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</si>
  <si>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</si>
  <si>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</si>
  <si>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</si>
  <si>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</si>
  <si>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</si>
  <si>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</si>
  <si>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</si>
  <si>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</si>
  <si>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</si>
  <si>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</si>
  <si>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</si>
  <si>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</si>
  <si>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</si>
  <si>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</si>
  <si>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</si>
  <si>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</si>
  <si>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</si>
  <si>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</si>
  <si>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</si>
  <si>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</si>
  <si>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</si>
  <si>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</si>
  <si>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</si>
  <si>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</si>
  <si>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</si>
  <si>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</si>
  <si>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</si>
  <si>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</si>
  <si>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</si>
  <si>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</si>
  <si>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</si>
  <si>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</si>
  <si>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</si>
  <si>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</si>
  <si>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</si>
  <si>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</si>
  <si>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</si>
  <si>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</si>
  <si>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</si>
  <si>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</si>
  <si>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</si>
  <si>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</si>
  <si>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</si>
  <si>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</si>
  <si>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</si>
  <si>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</si>
  <si>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</si>
  <si>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</si>
  <si>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</si>
  <si>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</si>
  <si>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</si>
  <si>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</si>
  <si>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</si>
  <si>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</si>
  <si>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</si>
  <si>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</si>
  <si>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</si>
  <si>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</si>
  <si>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</si>
  <si>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</si>
  <si>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</si>
  <si>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</si>
  <si>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</si>
  <si>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</si>
  <si>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</si>
  <si>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</si>
  <si>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</si>
  <si>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</si>
  <si>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</si>
  <si>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</si>
  <si>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</si>
  <si>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</si>
  <si>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</si>
  <si>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</si>
  <si>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</si>
  <si>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</si>
  <si>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</si>
  <si>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</si>
  <si>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</si>
  <si>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</si>
  <si>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</si>
  <si>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</si>
  <si>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</si>
  <si>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</si>
  <si>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</si>
  <si>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</si>
  <si>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</si>
  <si>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</si>
  <si>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</si>
  <si>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</si>
  <si>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</si>
  <si>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</si>
  <si>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</si>
  <si>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</si>
  <si>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</si>
  <si>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</si>
  <si>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</si>
  <si>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</si>
  <si>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</si>
  <si>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</si>
  <si>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</si>
  <si>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</si>
  <si>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</si>
  <si>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</si>
  <si>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</si>
  <si>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</si>
  <si>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</si>
  <si>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</si>
  <si>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</si>
  <si>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</si>
  <si>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</si>
  <si>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</si>
  <si>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</si>
  <si>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</si>
  <si>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</si>
  <si>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</si>
  <si>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</si>
  <si>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</si>
  <si>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</si>
  <si>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</si>
  <si>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</si>
  <si>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</si>
  <si>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</si>
  <si>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</si>
  <si>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</si>
  <si>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</si>
  <si>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</si>
  <si>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</si>
  <si>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</si>
  <si>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</si>
  <si>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</si>
  <si>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</si>
  <si>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</si>
  <si>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</si>
  <si>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</si>
  <si>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</si>
  <si>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</si>
  <si>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</si>
  <si>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</si>
  <si>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</si>
  <si>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</si>
  <si>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</si>
  <si>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</si>
  <si>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</si>
  <si>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</si>
  <si>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</si>
  <si>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</si>
  <si>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</si>
  <si>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</si>
  <si>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</si>
  <si>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</si>
  <si>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</si>
  <si>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</si>
  <si>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</si>
  <si>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</si>
  <si>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</si>
  <si>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</si>
  <si>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</si>
  <si>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</si>
  <si>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</si>
  <si>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</si>
  <si>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</si>
  <si>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</si>
  <si>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</si>
  <si>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</si>
  <si>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</si>
  <si>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</si>
  <si>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</si>
  <si>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</si>
  <si>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</si>
  <si>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</si>
  <si>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</si>
  <si>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</si>
  <si>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</si>
  <si>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</si>
  <si>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</si>
  <si>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</si>
  <si>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</si>
  <si>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</si>
  <si>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</si>
  <si>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</si>
  <si>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</si>
  <si>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</si>
  <si>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</si>
  <si>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</si>
  <si>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</si>
  <si>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</si>
  <si>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</si>
  <si>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</si>
  <si>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</si>
  <si>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</si>
  <si>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</si>
  <si>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</si>
  <si>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</si>
  <si>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</si>
  <si>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</si>
  <si>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</si>
  <si>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</si>
  <si>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</si>
  <si>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</si>
  <si>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</si>
  <si>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</si>
  <si>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</si>
  <si>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</si>
  <si>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</si>
  <si>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</si>
  <si>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</si>
  <si>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</si>
  <si>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</si>
  <si>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</si>
  <si>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</si>
  <si>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</si>
  <si>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</si>
  <si>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</si>
  <si>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</si>
  <si>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</si>
  <si>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</si>
  <si>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</si>
  <si>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</si>
  <si>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</si>
  <si>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</si>
  <si>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</si>
  <si>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</si>
  <si>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</si>
  <si>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</si>
  <si>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</si>
  <si>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</si>
  <si>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</si>
  <si>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</si>
  <si>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</si>
  <si>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</si>
  <si>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</si>
  <si>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</si>
  <si>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</si>
  <si>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</si>
  <si>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</si>
  <si>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</si>
  <si>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</si>
  <si>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</si>
  <si>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</si>
  <si>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</si>
  <si>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</si>
  <si>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</si>
  <si>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</si>
  <si>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</si>
  <si>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</si>
  <si>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</si>
  <si>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</si>
  <si>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</si>
  <si>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</si>
  <si>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</si>
  <si>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</si>
  <si>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</si>
  <si>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</si>
  <si>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</si>
  <si>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</si>
  <si>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</si>
  <si>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</si>
  <si>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</si>
  <si>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</si>
  <si>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</si>
  <si>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</si>
  <si>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</si>
  <si>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</si>
  <si>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</si>
  <si>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</si>
  <si>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</si>
  <si>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</si>
  <si>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</si>
  <si>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</si>
  <si>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</si>
  <si>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</si>
  <si>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</si>
  <si>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</si>
  <si>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</si>
  <si>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</si>
  <si>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</si>
  <si>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</si>
  <si>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</si>
  <si>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</si>
  <si>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</si>
  <si>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</si>
  <si>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</si>
  <si>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</si>
  <si>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</si>
  <si>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</si>
  <si>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</si>
  <si>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</si>
  <si>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</si>
  <si>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</si>
  <si>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</si>
  <si>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</si>
  <si>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</si>
  <si>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</si>
  <si>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</si>
  <si>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</si>
  <si>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</si>
  <si>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</si>
  <si>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</si>
  <si>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</si>
  <si>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</si>
  <si>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</si>
  <si>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</si>
  <si>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</si>
  <si>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</si>
  <si>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</si>
  <si>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</si>
  <si>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</si>
  <si>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</si>
  <si>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</si>
  <si>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</si>
  <si>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</si>
  <si>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</si>
  <si>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</si>
  <si>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</si>
  <si>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</si>
  <si>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</si>
  <si>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</si>
  <si>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</si>
  <si>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</si>
  <si>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</si>
  <si>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</si>
  <si>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</si>
  <si>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</si>
  <si>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</si>
  <si>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</si>
  <si>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</si>
  <si>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</si>
  <si>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</si>
  <si>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</si>
  <si>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</si>
  <si>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</si>
  <si>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</si>
  <si>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</si>
  <si>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</si>
  <si>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</si>
  <si>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</si>
  <si>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</si>
  <si>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</si>
  <si>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</si>
  <si>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</si>
  <si>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</si>
  <si>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</si>
  <si>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</si>
  <si>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</si>
  <si>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</si>
  <si>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</si>
  <si>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</si>
  <si>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</si>
  <si>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</si>
  <si>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</si>
  <si>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</si>
  <si>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</si>
  <si>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</si>
  <si>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</si>
  <si>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</si>
  <si>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</si>
  <si>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</si>
  <si>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</si>
  <si>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</si>
  <si>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</si>
  <si>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</si>
  <si>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</si>
  <si>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</si>
  <si>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</si>
  <si>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</si>
  <si>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</si>
  <si>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</si>
  <si>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</si>
  <si>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</si>
  <si>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</si>
  <si>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</si>
  <si>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</si>
  <si>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</si>
  <si>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</si>
  <si>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</si>
  <si>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</si>
  <si>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</si>
  <si>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</si>
  <si>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</si>
  <si>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</si>
  <si>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</si>
  <si>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</si>
  <si>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</si>
  <si>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</si>
  <si>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</si>
  <si>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</si>
  <si>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</si>
  <si>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</si>
  <si>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</si>
  <si>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</si>
  <si>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</si>
  <si>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</si>
  <si>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</si>
  <si>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</si>
  <si>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</si>
  <si>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</si>
  <si>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</si>
  <si>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</si>
  <si>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</si>
  <si>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</si>
  <si>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</si>
  <si>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</si>
  <si>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</si>
  <si>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</si>
  <si>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</si>
  <si>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</si>
  <si>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</si>
  <si>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</si>
  <si>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</si>
  <si>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</si>
  <si>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</si>
  <si>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</si>
  <si>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</si>
  <si>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</si>
  <si>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</si>
  <si>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</si>
  <si>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</si>
  <si>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</si>
  <si>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</si>
  <si>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</si>
  <si>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</si>
  <si>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</si>
  <si>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</si>
  <si>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</si>
  <si>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</si>
  <si>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</si>
  <si>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</si>
  <si>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</si>
  <si>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</si>
  <si>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</si>
  <si>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</si>
  <si>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</si>
  <si>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</si>
  <si>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</si>
  <si>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</si>
  <si>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</si>
  <si>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</si>
  <si>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</si>
  <si>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</si>
  <si>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</si>
  <si>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</si>
  <si>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</si>
  <si>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</si>
  <si>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</si>
  <si>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</si>
  <si>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</si>
  <si>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</si>
  <si>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</si>
  <si>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</si>
  <si>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</si>
  <si>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</si>
  <si>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</si>
  <si>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</si>
  <si>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</si>
  <si>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</si>
  <si>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</si>
  <si>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</si>
  <si>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</si>
  <si>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</si>
  <si>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</si>
  <si>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</si>
  <si>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</si>
  <si>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</si>
  <si>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</si>
  <si>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</si>
  <si>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</si>
  <si>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</si>
  <si>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</si>
  <si>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</si>
  <si>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</si>
  <si>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</si>
  <si>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</si>
  <si>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</si>
  <si>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</si>
  <si>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</si>
  <si>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</si>
  <si>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</si>
  <si>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</si>
  <si>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</si>
  <si>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</si>
  <si>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</si>
  <si>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</si>
  <si>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</si>
  <si>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</si>
  <si>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</si>
  <si>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</si>
  <si>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</si>
  <si>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</si>
  <si>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</si>
  <si>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</si>
  <si>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</si>
  <si>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</si>
  <si>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</si>
  <si>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</si>
  <si>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</si>
  <si>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</si>
  <si>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</si>
  <si>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</si>
  <si>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</si>
  <si>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</si>
  <si>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</si>
  <si>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</si>
  <si>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</si>
  <si>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</si>
  <si>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</si>
  <si>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</si>
  <si>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</si>
  <si>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</si>
  <si>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</si>
  <si>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</si>
  <si>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</si>
  <si>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</si>
  <si>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</si>
  <si>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</si>
  <si>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</si>
  <si>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</si>
  <si>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</si>
  <si>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</si>
  <si>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</si>
  <si>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</si>
  <si>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</si>
  <si>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</si>
  <si>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</si>
  <si>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</si>
  <si>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</si>
  <si>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</si>
  <si>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</si>
  <si>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</si>
  <si>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</si>
  <si>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</si>
  <si>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</si>
  <si>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</si>
  <si>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</si>
  <si>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</si>
  <si>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</si>
  <si>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</si>
  <si>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</si>
  <si>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</si>
  <si>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</si>
  <si>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</si>
  <si>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</si>
  <si>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</si>
  <si>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</si>
  <si>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</si>
  <si>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</si>
  <si>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</si>
  <si>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</si>
  <si>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</si>
  <si>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</si>
  <si>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</si>
  <si>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</si>
  <si>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</si>
  <si>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</si>
  <si>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</si>
  <si>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</si>
  <si>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</si>
  <si>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</si>
  <si>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</si>
  <si>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</si>
  <si>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</si>
  <si>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</si>
  <si>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</si>
  <si>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</si>
  <si>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</si>
  <si>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</si>
  <si>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</si>
  <si>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</si>
  <si>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</si>
  <si>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</si>
  <si>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</si>
  <si>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</si>
  <si>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</si>
  <si>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</si>
  <si>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</si>
  <si>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</si>
  <si>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</si>
  <si>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</si>
  <si>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</si>
  <si>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</si>
  <si>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</si>
  <si>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</si>
  <si>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</si>
  <si>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</si>
  <si>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</si>
  <si>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</si>
  <si>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</si>
  <si>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</si>
  <si>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</si>
  <si>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</si>
  <si>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</si>
  <si>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</si>
  <si>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</si>
  <si>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</si>
  <si>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</si>
  <si>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</si>
  <si>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</si>
  <si>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</si>
  <si>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</si>
  <si>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</si>
  <si>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</si>
  <si>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</si>
  <si>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</si>
  <si>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</si>
  <si>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</si>
  <si>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</si>
  <si>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</si>
  <si>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</si>
  <si>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</si>
  <si>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</si>
  <si>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</si>
  <si>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</si>
  <si>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</si>
  <si>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</si>
  <si>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</si>
  <si>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</si>
  <si>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</si>
  <si>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</si>
  <si>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</si>
  <si>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</si>
  <si>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</si>
  <si>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</si>
  <si>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</si>
  <si>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</si>
  <si>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</si>
  <si>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</si>
  <si>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</si>
  <si>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</si>
  <si>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</si>
  <si>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</si>
  <si>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</si>
  <si>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</si>
  <si>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</si>
  <si>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</si>
  <si>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</si>
  <si>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</si>
  <si>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</si>
  <si>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</si>
  <si>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</si>
  <si>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</si>
  <si>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</si>
  <si>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</si>
  <si>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</si>
  <si>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</si>
  <si>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</si>
  <si>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</si>
  <si>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</si>
  <si>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</si>
  <si>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</si>
  <si>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</si>
  <si>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</si>
  <si>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</si>
  <si>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</si>
  <si>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</si>
  <si>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</si>
  <si>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</si>
  <si>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</si>
  <si>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</si>
  <si>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</si>
  <si>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</si>
  <si>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</si>
  <si>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</si>
  <si>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</si>
  <si>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</si>
  <si>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</si>
  <si>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</si>
  <si>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</si>
  <si>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</si>
  <si>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</si>
  <si>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</si>
  <si>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</si>
  <si>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</si>
  <si>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</si>
  <si>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</si>
  <si>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</si>
  <si>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</si>
  <si>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</si>
  <si>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</si>
  <si>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</si>
  <si>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</si>
  <si>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</si>
  <si>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</si>
  <si>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</si>
  <si>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</si>
  <si>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</si>
  <si>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</si>
  <si>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</si>
  <si>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</si>
  <si>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</si>
  <si>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</si>
  <si>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</si>
  <si>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</si>
  <si>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</si>
  <si>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</si>
  <si>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</si>
  <si>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</si>
  <si>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</si>
  <si>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</si>
  <si>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</si>
  <si>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</si>
  <si>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</si>
  <si>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</si>
  <si>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</si>
  <si>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</si>
  <si>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</si>
  <si>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</si>
  <si>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</si>
  <si>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</si>
  <si>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</si>
  <si>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</si>
  <si>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</si>
  <si>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</si>
  <si>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</si>
  <si>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</si>
  <si>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</si>
  <si>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</si>
  <si>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</si>
  <si>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</si>
  <si>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</si>
  <si>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</si>
  <si>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</si>
  <si>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</si>
  <si>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</si>
  <si>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</si>
  <si>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</si>
  <si>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</si>
  <si>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</si>
  <si>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</si>
  <si>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</si>
  <si>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</si>
  <si>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</si>
  <si>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</si>
  <si>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</si>
  <si>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</si>
  <si>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</si>
  <si>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</si>
  <si>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</si>
  <si>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</si>
  <si>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</si>
  <si>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</si>
  <si>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</si>
  <si>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</si>
  <si>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</si>
  <si>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</si>
  <si>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</si>
  <si>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</si>
  <si>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</si>
  <si>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</si>
  <si>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</si>
  <si>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</si>
  <si>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</si>
  <si>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</si>
  <si>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</si>
  <si>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</si>
  <si>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</si>
  <si>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</si>
  <si>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</si>
  <si>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</si>
  <si>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</si>
  <si>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</si>
  <si>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</si>
  <si>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</si>
  <si>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</si>
  <si>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</si>
  <si>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</si>
  <si>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</si>
  <si>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</si>
  <si>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</si>
  <si>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</si>
  <si>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</si>
  <si>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</si>
  <si>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</si>
  <si>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</si>
  <si>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</si>
  <si>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</si>
  <si>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</si>
  <si>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</si>
  <si>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</si>
  <si>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</si>
  <si>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</si>
  <si>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</si>
  <si>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</si>
  <si>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</si>
  <si>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</si>
  <si>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</si>
  <si>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</si>
  <si>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</si>
  <si>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</si>
  <si>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</si>
  <si>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</si>
  <si>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</si>
  <si>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</si>
  <si>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</si>
  <si>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</si>
  <si>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</si>
  <si>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</si>
  <si>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</si>
  <si>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</si>
  <si>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</si>
  <si>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</si>
  <si>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</si>
  <si>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</si>
  <si>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</si>
  <si>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</si>
  <si>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</si>
  <si>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</si>
  <si>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</si>
  <si>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</si>
  <si>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</si>
  <si>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</si>
  <si>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</si>
  <si>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</si>
  <si>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</si>
  <si>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</si>
  <si>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</si>
  <si>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</si>
  <si>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</si>
  <si>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</si>
  <si>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</si>
  <si>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</si>
  <si>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</si>
  <si>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</si>
  <si>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</si>
  <si>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</si>
  <si>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</si>
  <si>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</si>
  <si>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</si>
  <si>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</si>
  <si>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</si>
  <si>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</si>
  <si>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</si>
  <si>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</si>
  <si>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</si>
  <si>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</si>
  <si>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</si>
  <si>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</si>
  <si>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</si>
  <si>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</si>
  <si>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</si>
  <si>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</si>
  <si>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</si>
  <si>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</si>
  <si>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</si>
  <si>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</si>
  <si>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</si>
  <si>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</si>
  <si>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</si>
  <si>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</si>
  <si>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</si>
  <si>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</si>
  <si>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</si>
  <si>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</si>
  <si>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</si>
  <si>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</si>
  <si>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</si>
  <si>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</si>
  <si>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</si>
  <si>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</si>
  <si>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</si>
  <si>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</si>
  <si>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</si>
  <si>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</si>
  <si>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</si>
  <si>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</si>
  <si>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</si>
  <si>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</si>
  <si>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</si>
  <si>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</si>
  <si>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</si>
  <si>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</si>
  <si>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</si>
  <si>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</si>
  <si>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</si>
  <si>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</si>
  <si>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</si>
  <si>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</si>
  <si>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</si>
  <si>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</si>
  <si>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</si>
  <si>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</si>
  <si>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</si>
  <si>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</si>
  <si>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</si>
  <si>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</si>
  <si>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</si>
  <si>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</si>
  <si>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</si>
  <si>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</si>
  <si>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</si>
  <si>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</si>
  <si>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</si>
  <si>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</si>
  <si>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</si>
  <si>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</si>
  <si>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</si>
  <si>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</si>
  <si>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</si>
  <si>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</si>
  <si>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</si>
  <si>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</si>
  <si>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</si>
  <si>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</si>
  <si>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</si>
  <si>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</si>
  <si>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</si>
  <si>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</si>
  <si>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</si>
  <si>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</si>
  <si>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</si>
  <si>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</si>
  <si>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</si>
  <si>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</si>
  <si>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</si>
  <si>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</si>
  <si>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</si>
  <si>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</si>
  <si>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</si>
  <si>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</si>
  <si>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</si>
  <si>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</si>
  <si>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</si>
  <si>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</si>
  <si>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</si>
  <si>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</si>
  <si>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</si>
  <si>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</si>
  <si>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</si>
  <si>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</si>
  <si>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</si>
  <si>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</si>
  <si>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</si>
  <si>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</si>
  <si>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</si>
  <si>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</si>
  <si>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</si>
  <si>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</si>
  <si>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</si>
  <si>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</si>
  <si>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</si>
  <si>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</si>
  <si>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</si>
  <si>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</si>
  <si>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</si>
  <si>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</si>
  <si>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</si>
  <si>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</si>
  <si>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</si>
  <si>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</si>
  <si>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</si>
  <si>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</si>
  <si>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</si>
  <si>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</si>
  <si>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</si>
  <si>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</si>
  <si>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</si>
  <si>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</si>
  <si>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</si>
  <si>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</si>
  <si>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</si>
  <si>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</si>
  <si>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</si>
  <si>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</si>
  <si>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</si>
  <si>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</si>
  <si>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</si>
  <si>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</si>
  <si>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</si>
  <si>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</si>
  <si>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</si>
  <si>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</si>
  <si>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</si>
  <si>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</si>
  <si>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</si>
  <si>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</si>
  <si>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</si>
  <si>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</si>
  <si>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</si>
  <si>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</si>
  <si>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</si>
  <si>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</si>
  <si>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</si>
  <si>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</si>
  <si>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</si>
  <si>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</si>
  <si>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</si>
  <si>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</si>
  <si>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</si>
  <si>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</si>
  <si>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</si>
  <si>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</si>
  <si>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</si>
  <si>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</si>
  <si>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</si>
  <si>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</si>
  <si>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</si>
  <si>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</si>
  <si>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</si>
  <si>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</si>
  <si>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</si>
  <si>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</si>
  <si>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</si>
  <si>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</si>
  <si>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</si>
  <si>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</si>
  <si>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</si>
  <si>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</si>
  <si>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</si>
  <si>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</si>
  <si>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</si>
  <si>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</si>
  <si>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</si>
  <si>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</si>
  <si>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</si>
  <si>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</si>
  <si>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</si>
  <si>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</si>
  <si>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</si>
  <si>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</si>
  <si>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</si>
  <si>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</si>
  <si>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</si>
  <si>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</si>
  <si>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</si>
  <si>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</si>
  <si>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</si>
  <si>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</si>
  <si>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</si>
  <si>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</si>
  <si>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</si>
  <si>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</si>
  <si>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</si>
  <si>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</si>
  <si>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</si>
  <si>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</si>
  <si>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</si>
  <si>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</si>
  <si>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</si>
  <si>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</si>
  <si>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</si>
  <si>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</si>
  <si>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</si>
  <si>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</si>
  <si>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</si>
  <si>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</si>
  <si>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</si>
  <si>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</si>
  <si>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</si>
  <si>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</si>
  <si>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</si>
  <si>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</si>
  <si>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</si>
  <si>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</si>
  <si>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</si>
  <si>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</si>
  <si>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</si>
  <si>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</si>
  <si>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</si>
  <si>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</si>
  <si>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</si>
  <si>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</si>
  <si>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</si>
  <si>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</si>
  <si>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</si>
  <si>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</si>
  <si>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</si>
  <si>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</si>
  <si>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</si>
  <si>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</si>
  <si>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</si>
  <si>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</si>
  <si>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</si>
  <si>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</si>
  <si>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</si>
  <si>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</si>
  <si>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</si>
  <si>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</si>
  <si>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</si>
  <si>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</si>
  <si>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</si>
  <si>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</si>
  <si>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</si>
  <si>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</si>
  <si>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</si>
  <si>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</si>
  <si>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</si>
  <si>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</si>
  <si>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</si>
  <si>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</si>
  <si>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</si>
  <si>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</si>
  <si>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</si>
  <si>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</si>
  <si>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</si>
  <si>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</si>
  <si>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</si>
  <si>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</si>
  <si>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</si>
  <si>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</si>
  <si>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</si>
  <si>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</si>
  <si>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</si>
  <si>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</si>
  <si>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</si>
  <si>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</si>
  <si>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</si>
  <si>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</si>
  <si>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</si>
  <si>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</si>
  <si>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</si>
  <si>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</si>
  <si>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</si>
  <si>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</si>
  <si>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</si>
  <si>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</si>
  <si>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</si>
  <si>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</si>
  <si>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</si>
  <si>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</si>
  <si>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</si>
  <si>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</si>
  <si>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</si>
  <si>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</si>
  <si>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</si>
  <si>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</si>
  <si>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</si>
  <si>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</si>
  <si>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</si>
  <si>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</si>
  <si>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</si>
  <si>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</si>
  <si>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</si>
  <si>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</si>
  <si>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</si>
  <si>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</si>
  <si>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</si>
  <si>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</si>
  <si>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</si>
  <si>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</si>
  <si>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</si>
  <si>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</si>
  <si>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</si>
  <si>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</si>
  <si>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</si>
  <si>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</si>
  <si>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</si>
  <si>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</si>
  <si>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</si>
  <si>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</si>
  <si>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</si>
  <si>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</si>
  <si>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</si>
  <si>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</si>
  <si>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</si>
  <si>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</si>
  <si>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</si>
  <si>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</si>
  <si>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</si>
  <si>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</si>
  <si>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</si>
  <si>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</si>
  <si>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</si>
  <si>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</si>
  <si>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</si>
  <si>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</si>
  <si>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</si>
  <si>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</si>
  <si>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</si>
  <si>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</si>
  <si>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</si>
  <si>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</si>
  <si>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</si>
  <si>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</si>
  <si>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</si>
  <si>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</si>
  <si>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</si>
  <si>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</si>
  <si>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</si>
  <si>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</si>
  <si>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</si>
  <si>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</si>
  <si>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</si>
  <si>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</si>
  <si>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</si>
  <si>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</si>
  <si>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</si>
  <si>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</si>
  <si>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</si>
  <si>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</si>
  <si>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</si>
  <si>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</si>
  <si>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</si>
  <si>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</si>
  <si>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</si>
  <si>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</si>
  <si>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</si>
  <si>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</si>
  <si>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</si>
  <si>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</si>
  <si>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</si>
  <si>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</si>
  <si>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</si>
  <si>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</si>
  <si>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</si>
  <si>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</si>
  <si>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</si>
  <si>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</si>
  <si>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</si>
  <si>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</si>
  <si>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</si>
  <si>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</si>
  <si>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</si>
  <si>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</si>
  <si>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</si>
  <si>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</si>
  <si>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</si>
  <si>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</si>
  <si>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</si>
  <si>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</si>
  <si>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</si>
  <si>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</si>
  <si>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</si>
  <si>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</si>
  <si>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</si>
  <si>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</si>
  <si>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</si>
  <si>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</si>
  <si>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</si>
  <si>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</si>
  <si>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</si>
  <si>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</si>
  <si>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</si>
  <si>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</si>
  <si>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</si>
  <si>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</si>
  <si>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</si>
  <si>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</si>
  <si>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</si>
  <si>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</si>
  <si>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</si>
  <si>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</si>
  <si>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</si>
  <si>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</si>
  <si>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</si>
  <si>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</si>
  <si>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</si>
  <si>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</si>
  <si>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</si>
  <si>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</si>
  <si>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</si>
  <si>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</si>
  <si>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</si>
  <si>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</si>
  <si>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</si>
  <si>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</si>
  <si>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</si>
  <si>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</si>
  <si>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</si>
  <si>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</si>
  <si>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</si>
  <si>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</si>
  <si>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</si>
  <si>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</si>
  <si>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</si>
  <si>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</si>
  <si>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</si>
  <si>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</si>
  <si>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</si>
  <si>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</si>
  <si>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</si>
  <si>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</si>
  <si>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</si>
  <si>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</si>
  <si>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</si>
  <si>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</si>
  <si>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</si>
  <si>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</si>
  <si>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</si>
  <si>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</si>
  <si>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</si>
  <si>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</si>
  <si>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</si>
  <si>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</si>
  <si>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</si>
  <si>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</si>
  <si>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</si>
  <si>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</si>
  <si>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</si>
  <si>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</si>
  <si>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</si>
  <si>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</si>
  <si>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</si>
  <si>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</si>
  <si>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</si>
  <si>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</si>
  <si>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</si>
  <si>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</si>
  <si>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</si>
  <si>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</si>
  <si>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</si>
  <si>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</si>
  <si>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</si>
  <si>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</si>
  <si>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</si>
  <si>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</si>
  <si>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</si>
  <si>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</si>
  <si>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</si>
  <si>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</si>
  <si>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</si>
  <si>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</si>
  <si>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</si>
  <si>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</si>
  <si>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</si>
  <si>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</si>
  <si>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</si>
  <si>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</si>
  <si>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</si>
  <si>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</si>
  <si>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</si>
  <si>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</si>
  <si>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</si>
  <si>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</si>
  <si>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</si>
  <si>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</si>
  <si>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</si>
  <si>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</si>
  <si>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</si>
  <si>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</si>
  <si>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</si>
  <si>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</si>
  <si>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</si>
  <si>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</si>
  <si>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</si>
  <si>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</si>
  <si>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</si>
  <si>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</si>
  <si>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</si>
  <si>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</si>
  <si>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</si>
  <si>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</si>
  <si>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</si>
  <si>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</si>
  <si>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</si>
  <si>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</si>
  <si>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</si>
  <si>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</si>
  <si>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</si>
  <si>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</si>
  <si>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</si>
  <si>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</si>
  <si>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</si>
  <si>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</si>
  <si>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</si>
  <si>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</si>
  <si>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</si>
  <si>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</si>
  <si>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</si>
  <si>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</si>
  <si>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</si>
  <si>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</si>
  <si>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</si>
  <si>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</si>
  <si>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</si>
  <si>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</si>
  <si>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</si>
  <si>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</si>
  <si>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</si>
  <si>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</si>
  <si>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</si>
  <si>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</si>
  <si>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</si>
  <si>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</si>
  <si>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</si>
  <si>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</si>
  <si>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</si>
  <si>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</si>
  <si>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</si>
  <si>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</si>
  <si>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</si>
  <si>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</si>
  <si>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</si>
  <si>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</si>
  <si>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</si>
  <si>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</si>
  <si>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</si>
  <si>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</si>
  <si>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</si>
  <si>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</si>
  <si>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</si>
  <si>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</si>
  <si>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</si>
  <si>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</si>
  <si>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</si>
  <si>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</si>
  <si>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</si>
  <si>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</si>
  <si>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</si>
  <si>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</si>
  <si>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</si>
  <si>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</si>
  <si>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</si>
  <si>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</si>
  <si>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</si>
  <si>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</si>
  <si>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</si>
  <si>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</si>
  <si>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</si>
  <si>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</si>
  <si>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</si>
  <si>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</si>
  <si>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</si>
  <si>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</si>
  <si>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</si>
  <si>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</si>
  <si>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</si>
  <si>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</si>
  <si>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</si>
  <si>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</si>
  <si>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</si>
  <si>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</si>
  <si>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</si>
  <si>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</si>
  <si>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</si>
  <si>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</si>
  <si>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</si>
  <si>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</si>
  <si>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</si>
  <si>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</si>
  <si>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</si>
  <si>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</si>
  <si>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</si>
  <si>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</si>
  <si>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</si>
  <si>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</si>
  <si>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</si>
  <si>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</si>
  <si>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</si>
  <si>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</si>
  <si>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</si>
  <si>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</si>
  <si>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</si>
  <si>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</si>
  <si>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</si>
  <si>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</si>
  <si>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</si>
  <si>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</si>
  <si>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</si>
  <si>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</si>
  <si>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</si>
  <si>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</si>
  <si>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</si>
  <si>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</si>
  <si>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</si>
  <si>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</si>
  <si>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</si>
  <si>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</si>
  <si>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</si>
  <si>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</si>
  <si>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</si>
  <si>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</si>
  <si>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</si>
  <si>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</si>
  <si>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</si>
  <si>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</si>
  <si>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</si>
  <si>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</si>
  <si>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</si>
  <si>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</si>
  <si>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</si>
  <si>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</si>
  <si>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</si>
  <si>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</si>
  <si>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</si>
  <si>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</si>
  <si>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</si>
  <si>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</si>
  <si>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</si>
  <si>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</si>
  <si>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</si>
  <si>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</si>
  <si>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</si>
  <si>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</si>
  <si>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</si>
  <si>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</si>
  <si>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</si>
  <si>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</si>
  <si>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</si>
  <si>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</si>
  <si>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</si>
  <si>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</si>
  <si>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</si>
  <si>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</si>
  <si>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</si>
  <si>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</si>
  <si>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</si>
  <si>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</si>
  <si>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</si>
  <si>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</si>
  <si>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</si>
  <si>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</si>
  <si>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</si>
  <si>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</si>
  <si>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</si>
  <si>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</si>
  <si>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</si>
  <si>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</si>
  <si>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</si>
  <si>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</si>
  <si>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</si>
  <si>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</si>
  <si>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</si>
  <si>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</si>
  <si>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</si>
  <si>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</si>
  <si>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</si>
  <si>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</si>
  <si>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</si>
  <si>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</si>
  <si>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</si>
  <si>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</si>
  <si>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</si>
  <si>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</si>
  <si>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</si>
  <si>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</si>
  <si>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</si>
  <si>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</si>
  <si>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</si>
  <si>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</si>
  <si>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</si>
  <si>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</si>
  <si>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</si>
  <si>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</si>
  <si>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</si>
  <si>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</si>
  <si>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</si>
  <si>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</si>
  <si>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</si>
  <si>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</si>
  <si>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</si>
  <si>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</si>
  <si>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</si>
  <si>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</si>
  <si>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</si>
  <si>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</si>
  <si>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</si>
  <si>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</si>
  <si>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</si>
  <si>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</si>
  <si>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</si>
  <si>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</si>
  <si>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</si>
  <si>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</si>
  <si>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</si>
  <si>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</si>
  <si>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</si>
  <si>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</si>
  <si>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</si>
  <si>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</si>
  <si>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</si>
  <si>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</si>
  <si>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</si>
  <si>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</si>
  <si>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</si>
  <si>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</si>
  <si>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</si>
  <si>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</si>
  <si>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</si>
  <si>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</si>
  <si>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</si>
  <si>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</si>
  <si>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</si>
  <si>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</si>
  <si>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</si>
  <si>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</si>
  <si>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</si>
  <si>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</si>
  <si>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</si>
  <si>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</si>
  <si>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</si>
  <si>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</si>
  <si>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</si>
  <si>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</si>
  <si>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</si>
  <si>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</si>
  <si>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</si>
  <si>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</si>
  <si>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</si>
  <si>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</si>
  <si>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</si>
  <si>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</si>
  <si>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</si>
  <si>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</si>
  <si>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</si>
  <si>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</si>
  <si>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</si>
  <si>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</si>
  <si>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</si>
  <si>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</si>
  <si>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</si>
  <si>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</si>
  <si>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</si>
  <si>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</si>
  <si>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</si>
  <si>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</si>
  <si>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</si>
  <si>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</si>
  <si>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</si>
  <si>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</si>
  <si>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</si>
  <si>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</si>
  <si>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</si>
  <si>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</si>
  <si>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</si>
  <si>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</si>
  <si>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</si>
  <si>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</si>
  <si>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</si>
  <si>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</si>
  <si>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</si>
  <si>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</si>
  <si>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</si>
  <si>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</si>
  <si>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</si>
  <si>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</si>
  <si>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</si>
  <si>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</si>
  <si>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</si>
  <si>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</si>
  <si>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</si>
  <si>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</si>
  <si>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</si>
  <si>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</si>
  <si>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</si>
  <si>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</si>
  <si>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</si>
  <si>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</si>
  <si>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</si>
  <si>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</si>
  <si>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</si>
  <si>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</si>
  <si>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</si>
  <si>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</si>
  <si>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</si>
  <si>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</si>
  <si>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</si>
  <si>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</si>
  <si>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</si>
  <si>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</si>
  <si>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</si>
  <si>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</si>
  <si>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</si>
  <si>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</si>
  <si>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</si>
  <si>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</si>
  <si>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</si>
  <si>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</si>
  <si>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</si>
  <si>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</si>
  <si>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</si>
  <si>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</si>
  <si>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</si>
  <si>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</si>
  <si>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</si>
  <si>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</si>
  <si>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</si>
  <si>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</si>
  <si>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</si>
  <si>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</si>
  <si>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</si>
  <si>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</si>
  <si>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</si>
  <si>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</si>
  <si>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</si>
  <si>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</si>
  <si>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</si>
  <si>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</si>
  <si>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</si>
  <si>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</si>
  <si>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</si>
  <si>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</si>
  <si>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</si>
  <si>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</si>
  <si>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</si>
  <si>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</si>
  <si>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</si>
  <si>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</si>
  <si>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</si>
  <si>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</si>
  <si>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</si>
  <si>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</si>
  <si>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</si>
  <si>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</si>
  <si>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</si>
  <si>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</si>
  <si>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</si>
  <si>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</si>
  <si>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</si>
  <si>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</si>
  <si>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</si>
  <si>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</si>
  <si>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</si>
  <si>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</si>
  <si>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</si>
  <si>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</si>
  <si>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</si>
  <si>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</si>
  <si>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</si>
  <si>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</si>
  <si>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</si>
  <si>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</si>
  <si>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</si>
  <si>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</si>
  <si>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</si>
  <si>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</si>
  <si>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</si>
  <si>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</si>
  <si>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</si>
  <si>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</si>
  <si>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</si>
  <si>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</si>
  <si>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</si>
  <si>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</si>
  <si>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</si>
  <si>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</si>
  <si>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</si>
  <si>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</si>
  <si>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</si>
  <si>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</si>
  <si>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</si>
  <si>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</si>
  <si>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</si>
  <si>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</si>
  <si>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</si>
  <si>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</si>
  <si>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</si>
  <si>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</si>
  <si>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</si>
  <si>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</si>
  <si>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</si>
  <si>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</si>
  <si>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</si>
  <si>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</si>
  <si>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</si>
  <si>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</si>
  <si>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</si>
  <si>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</si>
  <si>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</si>
  <si>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</si>
  <si>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</si>
  <si>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</si>
  <si>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</si>
  <si>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</si>
  <si>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</si>
  <si>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</si>
  <si>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</si>
  <si>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</si>
  <si>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</si>
  <si>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</si>
  <si>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</si>
  <si>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</si>
  <si>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</si>
  <si>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</si>
  <si>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</si>
  <si>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</si>
  <si>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</si>
  <si>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</si>
  <si>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</si>
  <si>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</si>
  <si>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</si>
  <si>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</si>
  <si>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</si>
  <si>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</si>
  <si>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</si>
  <si>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</si>
  <si>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</si>
  <si>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</si>
  <si>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</si>
  <si>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</si>
  <si>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</si>
  <si>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</si>
  <si>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</si>
  <si>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</si>
  <si>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</si>
  <si>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</si>
  <si>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</si>
  <si>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</si>
  <si>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</si>
  <si>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</si>
  <si>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</si>
  <si>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</si>
  <si>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</si>
  <si>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</si>
  <si>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</si>
  <si>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</si>
  <si>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</si>
  <si>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</si>
  <si>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</si>
  <si>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</si>
  <si>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</si>
  <si>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</si>
  <si>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</si>
  <si>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</si>
  <si>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</si>
  <si>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</si>
  <si>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</si>
  <si>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</si>
  <si>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</si>
  <si>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</si>
  <si>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</si>
  <si>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</si>
  <si>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</si>
  <si>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</si>
  <si>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</si>
  <si>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</si>
  <si>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</si>
  <si>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</si>
  <si>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</si>
  <si>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</si>
  <si>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</si>
  <si>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</si>
  <si>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</si>
  <si>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</si>
  <si>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</si>
  <si>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</si>
  <si>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</si>
  <si>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</si>
  <si>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</si>
  <si>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</si>
  <si>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</si>
  <si>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</si>
  <si>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</si>
  <si>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</si>
  <si>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</si>
  <si>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</si>
  <si>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</si>
  <si>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</si>
  <si>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</si>
  <si>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</si>
  <si>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</si>
  <si>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</si>
  <si>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</si>
  <si>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</si>
  <si>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</si>
  <si>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</si>
  <si>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</si>
  <si>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</si>
  <si>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</si>
  <si>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</si>
  <si>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</si>
  <si>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</si>
  <si>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</si>
  <si>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</si>
  <si>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</si>
  <si>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</si>
  <si>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</si>
  <si>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</si>
  <si>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</si>
  <si>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</si>
  <si>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</si>
  <si>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</si>
  <si>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</si>
  <si>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</si>
  <si>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</si>
  <si>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</si>
  <si>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</si>
  <si>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</si>
  <si>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</si>
  <si>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</si>
  <si>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</si>
  <si>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</si>
  <si>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</si>
  <si>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</si>
  <si>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</si>
  <si>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</si>
  <si>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</si>
  <si>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</si>
  <si>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</si>
  <si>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</si>
  <si>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</si>
  <si>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</si>
  <si>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</si>
  <si>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</si>
  <si>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</si>
  <si>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</si>
  <si>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</si>
  <si>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</si>
  <si>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</si>
  <si>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</si>
  <si>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</si>
  <si>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</si>
  <si>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</si>
  <si>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</si>
  <si>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</si>
  <si>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</si>
  <si>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</si>
  <si>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</si>
  <si>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</si>
  <si>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</si>
  <si>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</si>
  <si>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</si>
  <si>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</si>
  <si>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</si>
  <si>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</si>
  <si>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</si>
  <si>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</si>
  <si>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</si>
  <si>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</si>
  <si>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</si>
  <si>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</si>
  <si>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</si>
  <si>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</si>
  <si>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</si>
  <si>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</si>
  <si>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</si>
  <si>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</si>
  <si>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</si>
  <si>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</si>
  <si>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</si>
  <si>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</si>
  <si>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</si>
  <si>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</si>
  <si>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</si>
  <si>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</si>
  <si>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</si>
  <si>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</si>
  <si>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</si>
  <si>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</si>
  <si>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</si>
  <si>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</si>
  <si>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</si>
  <si>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</si>
  <si>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مهدی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</si>
  <si>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</si>
  <si>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</si>
  <si>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</si>
  <si>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</si>
  <si>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</si>
  <si>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</si>
  <si>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</si>
  <si>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</si>
  <si>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</si>
  <si>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</si>
  <si>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</si>
  <si>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</si>
  <si>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</si>
  <si>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</si>
  <si>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</si>
  <si>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</si>
  <si>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</si>
  <si>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</si>
  <si>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</si>
  <si>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</si>
  <si>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</si>
  <si>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</si>
  <si>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</si>
  <si>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</si>
  <si>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</si>
  <si>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</si>
  <si>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تاپیکو 30256 تا 185 تومن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</si>
  <si>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</si>
  <si>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</si>
  <si>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</si>
  <si>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</si>
  <si>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</si>
  <si>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مبین 122666 تا 603.8</t>
  </si>
  <si>
    <t>سود پارس 4.2427 بود که 4.1 را به بورس علی ریختم</t>
  </si>
  <si>
    <t>14/5/1397</t>
  </si>
  <si>
    <t>خرید از جانبو از کارت یاران مریم 14/5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</si>
</sst>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abSelected="1" topLeftCell="A34" workbookViewId="0">
      <selection activeCell="E52" sqref="E5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4054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4054</v>
      </c>
      <c r="B4" s="18">
        <v>-32000</v>
      </c>
      <c r="C4" s="18">
        <v>0</v>
      </c>
      <c r="D4" s="119">
        <f t="shared" si="0"/>
        <v>-32000</v>
      </c>
      <c r="E4" s="105" t="s">
        <v>4024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4056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4023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>
        <v>-1249833</v>
      </c>
      <c r="E49" s="54" t="s">
        <v>4067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142700</v>
      </c>
      <c r="E50" s="41" t="s">
        <v>4071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32750</v>
      </c>
      <c r="E51" s="41" t="s">
        <v>4073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-10901239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3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4015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4054</v>
      </c>
      <c r="B173" s="18">
        <v>785000</v>
      </c>
      <c r="C173" s="18">
        <v>0</v>
      </c>
      <c r="D173" s="18">
        <f t="shared" si="18"/>
        <v>785000</v>
      </c>
      <c r="E173" s="105" t="s">
        <v>4055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4054</v>
      </c>
      <c r="B174" s="18">
        <v>-32000</v>
      </c>
      <c r="C174" s="18">
        <v>0</v>
      </c>
      <c r="D174" s="18">
        <f t="shared" si="18"/>
        <v>-32000</v>
      </c>
      <c r="E174" s="11" t="s">
        <v>4024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4056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4015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4012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Z41" sqref="Z41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100370.41061321812</v>
      </c>
      <c r="C2" s="91">
        <f>$S2/(1+($AC$3-$O2+$P2)/36500)^$N2</f>
        <v>100288.00244233372</v>
      </c>
      <c r="D2" s="91">
        <f>$S2/(1+($AC$4-$O2+$P2)/36500)^$N2</f>
        <v>100281.13753882312</v>
      </c>
      <c r="E2" s="91">
        <f>$S2/(1+($AC$5-$O2+$P2)/36500)^$N2</f>
        <v>100274.27301125028</v>
      </c>
      <c r="F2" s="91">
        <f>$S2/(1+($AC$6-$O2+$P2)/36500)^$N2</f>
        <v>100267.40885959953</v>
      </c>
      <c r="G2" s="91">
        <f>$S2/(1+($AC$7-$O2+$P2)/36500)^$N2</f>
        <v>100260.54508385567</v>
      </c>
      <c r="H2" s="91">
        <f>$S2/(1+($AC$8-$O2+$P2)/36500)^$N2</f>
        <v>100253.68168400308</v>
      </c>
      <c r="I2" s="91">
        <f>$S2/(1+($AC$9-$O2+$P2)/36500)^$N2</f>
        <v>100246.81866002643</v>
      </c>
      <c r="J2" s="91">
        <f>$S2/(1+($AC$10-$O2+$P2)/36500)^$N2</f>
        <v>100239.95601191027</v>
      </c>
      <c r="K2" s="91">
        <f>$S2/(1+($AC$11-$O2+$P2)/36500)^$N2</f>
        <v>100233.09373963898</v>
      </c>
      <c r="L2" s="91">
        <f>$S2/(1+($AC$5-$O2+$P2)/36500)^$N2</f>
        <v>100274.27301125028</v>
      </c>
      <c r="M2" s="90" t="s">
        <v>999</v>
      </c>
      <c r="N2" s="90">
        <f>132-$AD$19</f>
        <v>-5</v>
      </c>
      <c r="O2" s="90">
        <v>0</v>
      </c>
      <c r="P2" s="90">
        <v>0</v>
      </c>
      <c r="Q2" s="90">
        <v>0</v>
      </c>
      <c r="R2" s="90">
        <f t="shared" ref="R2:R31" si="0">N2/30.5</f>
        <v>-0.16393442622950818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97806.066917655728</v>
      </c>
      <c r="C3" s="93">
        <f t="shared" ref="C3:C31" si="3">$S3/(1+($AC$3-$O3+$P3)/36500)^$N3</f>
        <v>98289.270967842604</v>
      </c>
      <c r="D3" s="93">
        <f t="shared" ref="D3:D31" si="4">$S3/(1+($AC$4-$O3+$P3)/36500)^$N3</f>
        <v>98329.649160521207</v>
      </c>
      <c r="E3" s="93">
        <f t="shared" ref="E3:E31" si="5">$S3/(1+($AC$5-$O3+$P3)/36500)^$N3</f>
        <v>98370.04449411534</v>
      </c>
      <c r="F3" s="93">
        <f t="shared" ref="F3:F31" si="6">$S3/(1+($AC$6-$O3+$P3)/36500)^$N3</f>
        <v>98410.456976137066</v>
      </c>
      <c r="G3" s="93">
        <f t="shared" ref="G3:G31" si="7">$S3/(1+($AC$7-$O3+$P3)/36500)^$N3</f>
        <v>98450.886614100164</v>
      </c>
      <c r="H3" s="93">
        <f t="shared" ref="H3:H31" si="8">$S3/(1+($AC$8-$O3+$P3)/36500)^$N3</f>
        <v>98491.333415523623</v>
      </c>
      <c r="I3" s="93">
        <f t="shared" ref="I3:I31" si="9">$S3/(1+($AC$9-$O3+$P3)/36500)^$N3</f>
        <v>98531.797387928338</v>
      </c>
      <c r="J3" s="93">
        <f t="shared" ref="J3:J31" si="10">$S3/(1+($AC$10-$O3+$P3)/36500)^$N3</f>
        <v>98572.278538839237</v>
      </c>
      <c r="K3" s="93">
        <f t="shared" ref="K3:K31" si="11">$S3/(1+($AC$11-$O3+$P3)/36500)^$N3</f>
        <v>98612.776875785785</v>
      </c>
      <c r="L3" s="93">
        <f t="shared" ref="L3:L31" si="12">$S3/(1+($AC$5-$O3+$P3)/36500)^$N3</f>
        <v>98370.04449411534</v>
      </c>
      <c r="M3" s="92" t="s">
        <v>1000</v>
      </c>
      <c r="N3" s="92">
        <f>167-$AD$19</f>
        <v>30</v>
      </c>
      <c r="O3" s="92">
        <v>0</v>
      </c>
      <c r="P3" s="92">
        <v>0</v>
      </c>
      <c r="Q3" s="92">
        <v>0</v>
      </c>
      <c r="R3" s="92">
        <f t="shared" si="0"/>
        <v>0.98360655737704916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95731.02964848878</v>
      </c>
      <c r="C4" s="95">
        <f t="shared" si="3"/>
        <v>96663.390448293052</v>
      </c>
      <c r="D4" s="95">
        <f t="shared" si="4"/>
        <v>96741.502809635931</v>
      </c>
      <c r="E4" s="95">
        <f t="shared" si="5"/>
        <v>96819.679363242423</v>
      </c>
      <c r="F4" s="95">
        <f t="shared" si="6"/>
        <v>96897.920162746974</v>
      </c>
      <c r="G4" s="95">
        <f t="shared" si="7"/>
        <v>96976.225261825981</v>
      </c>
      <c r="H4" s="95">
        <f t="shared" si="8"/>
        <v>97054.594714205101</v>
      </c>
      <c r="I4" s="95">
        <f t="shared" si="9"/>
        <v>97133.028573652657</v>
      </c>
      <c r="J4" s="95">
        <f t="shared" si="10"/>
        <v>97211.526893983973</v>
      </c>
      <c r="K4" s="95">
        <f t="shared" si="11"/>
        <v>97290.089729062121</v>
      </c>
      <c r="L4" s="95">
        <f t="shared" si="12"/>
        <v>96819.679363242423</v>
      </c>
      <c r="M4" s="94" t="s">
        <v>1001</v>
      </c>
      <c r="N4" s="94">
        <f>196-$AD$19</f>
        <v>59</v>
      </c>
      <c r="O4" s="94">
        <v>0</v>
      </c>
      <c r="P4" s="94">
        <v>0</v>
      </c>
      <c r="Q4" s="94">
        <v>0</v>
      </c>
      <c r="R4" s="94">
        <f t="shared" si="0"/>
        <v>1.9344262295081966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70956.300089512923</v>
      </c>
      <c r="C5" s="91">
        <f t="shared" si="3"/>
        <v>76576.332118957711</v>
      </c>
      <c r="D5" s="91">
        <f t="shared" si="4"/>
        <v>77064.335720614574</v>
      </c>
      <c r="E5" s="91">
        <f t="shared" si="5"/>
        <v>77555.456003801039</v>
      </c>
      <c r="F5" s="91">
        <f t="shared" si="6"/>
        <v>78049.712916592311</v>
      </c>
      <c r="G5" s="91">
        <f t="shared" si="7"/>
        <v>78547.126534991767</v>
      </c>
      <c r="H5" s="91">
        <f t="shared" si="8"/>
        <v>79047.717063800534</v>
      </c>
      <c r="I5" s="91">
        <f t="shared" si="9"/>
        <v>79551.504837403088</v>
      </c>
      <c r="J5" s="91">
        <f t="shared" si="10"/>
        <v>80058.51032062681</v>
      </c>
      <c r="K5" s="91">
        <f t="shared" si="11"/>
        <v>80568.754109586996</v>
      </c>
      <c r="L5" s="91">
        <f t="shared" si="12"/>
        <v>77555.456003801039</v>
      </c>
      <c r="M5" s="90" t="s">
        <v>1002</v>
      </c>
      <c r="N5" s="90">
        <f>601-$AD$19</f>
        <v>464</v>
      </c>
      <c r="O5" s="90">
        <v>0</v>
      </c>
      <c r="P5" s="90">
        <v>0</v>
      </c>
      <c r="Q5" s="90">
        <v>0</v>
      </c>
      <c r="R5" s="90">
        <f t="shared" si="0"/>
        <v>15.21311475409836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90499.478632271857</v>
      </c>
      <c r="C6" s="93">
        <f t="shared" si="3"/>
        <v>92528.924073265604</v>
      </c>
      <c r="D6" s="93">
        <f t="shared" si="4"/>
        <v>92700.10012488591</v>
      </c>
      <c r="E6" s="93">
        <f t="shared" si="5"/>
        <v>92871.595197735907</v>
      </c>
      <c r="F6" s="93">
        <f t="shared" si="6"/>
        <v>93043.409890760086</v>
      </c>
      <c r="G6" s="93">
        <f t="shared" si="7"/>
        <v>93215.544804027464</v>
      </c>
      <c r="H6" s="93">
        <f t="shared" si="8"/>
        <v>93388.000538750188</v>
      </c>
      <c r="I6" s="93">
        <f t="shared" si="9"/>
        <v>93560.77769727078</v>
      </c>
      <c r="J6" s="93">
        <f t="shared" si="10"/>
        <v>93733.876883073885</v>
      </c>
      <c r="K6" s="93">
        <f t="shared" si="11"/>
        <v>93907.298700790212</v>
      </c>
      <c r="L6" s="93">
        <f t="shared" si="12"/>
        <v>92871.595197735907</v>
      </c>
      <c r="M6" s="92" t="s">
        <v>1003</v>
      </c>
      <c r="N6" s="92">
        <f>272-$AD$19</f>
        <v>135</v>
      </c>
      <c r="O6" s="92">
        <v>0</v>
      </c>
      <c r="P6" s="92">
        <v>0</v>
      </c>
      <c r="Q6" s="92">
        <v>0</v>
      </c>
      <c r="R6" s="92">
        <f t="shared" si="0"/>
        <v>4.4262295081967213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72440.741402195956</v>
      </c>
      <c r="C7" s="95">
        <f t="shared" si="3"/>
        <v>77819.574934950142</v>
      </c>
      <c r="D7" s="95">
        <f t="shared" si="4"/>
        <v>78285.485439461452</v>
      </c>
      <c r="E7" s="95">
        <f t="shared" si="5"/>
        <v>78754.191814511563</v>
      </c>
      <c r="F7" s="95">
        <f t="shared" si="6"/>
        <v>79225.710876403493</v>
      </c>
      <c r="G7" s="95">
        <f t="shared" si="7"/>
        <v>79700.059542794887</v>
      </c>
      <c r="H7" s="95">
        <f t="shared" si="8"/>
        <v>80177.254833355502</v>
      </c>
      <c r="I7" s="95">
        <f t="shared" si="9"/>
        <v>80657.313870343292</v>
      </c>
      <c r="J7" s="95">
        <f t="shared" si="10"/>
        <v>81140.253879249634</v>
      </c>
      <c r="K7" s="95">
        <f t="shared" si="11"/>
        <v>81626.092189429197</v>
      </c>
      <c r="L7" s="95">
        <f t="shared" si="12"/>
        <v>78754.191814511563</v>
      </c>
      <c r="M7" s="94" t="s">
        <v>1004</v>
      </c>
      <c r="N7" s="94">
        <f>573-$AD$19</f>
        <v>436</v>
      </c>
      <c r="O7" s="94">
        <v>0</v>
      </c>
      <c r="P7" s="94">
        <v>0</v>
      </c>
      <c r="Q7" s="94">
        <v>0</v>
      </c>
      <c r="R7" s="94">
        <f t="shared" si="0"/>
        <v>14.295081967213115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89567.430392106995</v>
      </c>
      <c r="C8" s="91">
        <f t="shared" si="3"/>
        <v>91786.828785265461</v>
      </c>
      <c r="D8" s="91">
        <f t="shared" si="4"/>
        <v>91974.259168066987</v>
      </c>
      <c r="E8" s="91">
        <f t="shared" si="5"/>
        <v>92162.074861114903</v>
      </c>
      <c r="F8" s="91">
        <f t="shared" si="6"/>
        <v>92350.27666180706</v>
      </c>
      <c r="G8" s="91">
        <f t="shared" si="7"/>
        <v>92538.865369193591</v>
      </c>
      <c r="H8" s="91">
        <f t="shared" si="8"/>
        <v>92727.841783998098</v>
      </c>
      <c r="I8" s="91">
        <f t="shared" si="9"/>
        <v>92917.206708605387</v>
      </c>
      <c r="J8" s="91">
        <f t="shared" si="10"/>
        <v>93106.960947074724</v>
      </c>
      <c r="K8" s="91">
        <f t="shared" si="11"/>
        <v>93297.10530514596</v>
      </c>
      <c r="L8" s="91">
        <f t="shared" si="12"/>
        <v>92162.074861114903</v>
      </c>
      <c r="M8" s="90" t="s">
        <v>1006</v>
      </c>
      <c r="N8" s="90">
        <f>286-$AD$19</f>
        <v>149</v>
      </c>
      <c r="O8" s="90">
        <v>0</v>
      </c>
      <c r="P8" s="90">
        <v>0</v>
      </c>
      <c r="Q8" s="90">
        <v>0</v>
      </c>
      <c r="R8" s="90">
        <f t="shared" si="0"/>
        <v>4.8852459016393439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78231.46516210241</v>
      </c>
      <c r="C9" s="93">
        <f t="shared" si="3"/>
        <v>82616.664984453309</v>
      </c>
      <c r="D9" s="93">
        <f t="shared" si="4"/>
        <v>82993.04230528418</v>
      </c>
      <c r="E9" s="93">
        <f t="shared" si="5"/>
        <v>83371.139479158053</v>
      </c>
      <c r="F9" s="93">
        <f t="shared" si="6"/>
        <v>83750.964388646098</v>
      </c>
      <c r="G9" s="93">
        <f t="shared" si="7"/>
        <v>84132.524952537948</v>
      </c>
      <c r="H9" s="93">
        <f t="shared" si="8"/>
        <v>84515.829126045122</v>
      </c>
      <c r="I9" s="93">
        <f t="shared" si="9"/>
        <v>84900.884900936318</v>
      </c>
      <c r="J9" s="93">
        <f t="shared" si="10"/>
        <v>85287.700305726597</v>
      </c>
      <c r="K9" s="93">
        <f t="shared" si="11"/>
        <v>85676.2834058515</v>
      </c>
      <c r="L9" s="93">
        <f t="shared" si="12"/>
        <v>83371.139479158053</v>
      </c>
      <c r="M9" s="92" t="s">
        <v>1005</v>
      </c>
      <c r="N9" s="92">
        <f>469-$AD$19</f>
        <v>332</v>
      </c>
      <c r="O9" s="92">
        <v>0</v>
      </c>
      <c r="P9" s="92">
        <v>0</v>
      </c>
      <c r="Q9" s="92">
        <v>0</v>
      </c>
      <c r="R9" s="92">
        <f t="shared" si="0"/>
        <v>10.885245901639344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78231.46516210241</v>
      </c>
      <c r="C10" s="95">
        <f t="shared" si="3"/>
        <v>82616.664984453309</v>
      </c>
      <c r="D10" s="95">
        <f t="shared" si="4"/>
        <v>82993.04230528418</v>
      </c>
      <c r="E10" s="95">
        <f t="shared" si="5"/>
        <v>83371.139479158053</v>
      </c>
      <c r="F10" s="95">
        <f t="shared" si="6"/>
        <v>83750.964388646098</v>
      </c>
      <c r="G10" s="95">
        <f t="shared" si="7"/>
        <v>84132.524952537948</v>
      </c>
      <c r="H10" s="95">
        <f t="shared" si="8"/>
        <v>84515.829126045122</v>
      </c>
      <c r="I10" s="95">
        <f t="shared" si="9"/>
        <v>84900.884900936318</v>
      </c>
      <c r="J10" s="95">
        <f t="shared" si="10"/>
        <v>85287.700305726597</v>
      </c>
      <c r="K10" s="95">
        <f t="shared" si="11"/>
        <v>85676.2834058515</v>
      </c>
      <c r="L10" s="95">
        <f t="shared" si="12"/>
        <v>83371.139479158053</v>
      </c>
      <c r="M10" s="94" t="s">
        <v>1005</v>
      </c>
      <c r="N10" s="94">
        <f>469-$AD$19</f>
        <v>332</v>
      </c>
      <c r="O10" s="94">
        <v>0</v>
      </c>
      <c r="P10" s="94">
        <v>0</v>
      </c>
      <c r="Q10" s="94">
        <v>0</v>
      </c>
      <c r="R10" s="94">
        <f t="shared" si="0"/>
        <v>10.885245901639344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69862.965802211547</v>
      </c>
      <c r="C11" s="91">
        <f t="shared" si="3"/>
        <v>75656.951887421819</v>
      </c>
      <c r="D11" s="91">
        <f t="shared" si="4"/>
        <v>76160.990217592378</v>
      </c>
      <c r="E11" s="91">
        <f t="shared" si="5"/>
        <v>76668.393499040714</v>
      </c>
      <c r="F11" s="91">
        <f t="shared" si="6"/>
        <v>77179.184242667703</v>
      </c>
      <c r="G11" s="91">
        <f t="shared" si="7"/>
        <v>77693.385110254792</v>
      </c>
      <c r="H11" s="91">
        <f t="shared" si="8"/>
        <v>78211.018915526307</v>
      </c>
      <c r="I11" s="91">
        <f t="shared" si="9"/>
        <v>78732.108625126581</v>
      </c>
      <c r="J11" s="91">
        <f t="shared" si="10"/>
        <v>79256.677359674504</v>
      </c>
      <c r="K11" s="91">
        <f t="shared" si="11"/>
        <v>79784.748394804774</v>
      </c>
      <c r="L11" s="91">
        <f t="shared" si="12"/>
        <v>76668.393499040714</v>
      </c>
      <c r="M11" s="90" t="s">
        <v>1009</v>
      </c>
      <c r="N11" s="90">
        <f>622-$AD$19</f>
        <v>485</v>
      </c>
      <c r="O11" s="90">
        <v>0</v>
      </c>
      <c r="P11" s="90">
        <v>0</v>
      </c>
      <c r="Q11" s="90">
        <v>0</v>
      </c>
      <c r="R11" s="90">
        <f t="shared" si="0"/>
        <v>15.901639344262295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91373.634410309882</v>
      </c>
      <c r="C12" s="93">
        <f>$S12/(1+($AC$3-$O12+$P12)/36500)^$N12</f>
        <v>93223.383820270436</v>
      </c>
      <c r="D12" s="93">
        <f t="shared" si="4"/>
        <v>93379.22339632173</v>
      </c>
      <c r="E12" s="93">
        <f t="shared" si="5"/>
        <v>93535.325625079917</v>
      </c>
      <c r="F12" s="93">
        <f t="shared" si="6"/>
        <v>93691.690952829711</v>
      </c>
      <c r="G12" s="93">
        <f t="shared" si="7"/>
        <v>93848.319826612773</v>
      </c>
      <c r="H12" s="93">
        <f t="shared" si="8"/>
        <v>94005.212694243877</v>
      </c>
      <c r="I12" s="93">
        <f t="shared" si="9"/>
        <v>94162.370004299097</v>
      </c>
      <c r="J12" s="93">
        <f t="shared" si="10"/>
        <v>94319.792206125334</v>
      </c>
      <c r="K12" s="93">
        <f t="shared" si="11"/>
        <v>94477.47974984358</v>
      </c>
      <c r="L12" s="93">
        <f t="shared" si="12"/>
        <v>93535.325625079917</v>
      </c>
      <c r="M12" s="92" t="s">
        <v>1010</v>
      </c>
      <c r="N12" s="92">
        <f>259-$AD$19</f>
        <v>122</v>
      </c>
      <c r="O12" s="92">
        <v>0</v>
      </c>
      <c r="P12" s="92">
        <v>0</v>
      </c>
      <c r="Q12" s="92">
        <v>0</v>
      </c>
      <c r="R12" s="92">
        <f t="shared" si="0"/>
        <v>4</v>
      </c>
      <c r="S12" s="93">
        <v>100000</v>
      </c>
      <c r="T12" s="93">
        <v>86600</v>
      </c>
      <c r="U12" s="93">
        <f t="shared" si="13"/>
        <v>99999.999999999985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66683.0088370624</v>
      </c>
      <c r="C13" s="95">
        <f t="shared" si="3"/>
        <v>72964.511504959359</v>
      </c>
      <c r="D13" s="95">
        <f t="shared" si="4"/>
        <v>73513.992578842299</v>
      </c>
      <c r="E13" s="95">
        <f t="shared" si="5"/>
        <v>74067.619292355143</v>
      </c>
      <c r="F13" s="95">
        <f t="shared" si="6"/>
        <v>74625.422980291696</v>
      </c>
      <c r="G13" s="95">
        <f t="shared" si="7"/>
        <v>75187.435214696801</v>
      </c>
      <c r="H13" s="95">
        <f t="shared" si="8"/>
        <v>75753.687806719507</v>
      </c>
      <c r="I13" s="95">
        <f t="shared" si="9"/>
        <v>76324.212808379132</v>
      </c>
      <c r="J13" s="95">
        <f t="shared" si="10"/>
        <v>76899.04251442269</v>
      </c>
      <c r="K13" s="95">
        <f t="shared" si="11"/>
        <v>77478.209464173706</v>
      </c>
      <c r="L13" s="95">
        <f t="shared" si="12"/>
        <v>74067.619292355143</v>
      </c>
      <c r="M13" s="94" t="s">
        <v>1011</v>
      </c>
      <c r="N13" s="94">
        <f>685-$AD$19</f>
        <v>548</v>
      </c>
      <c r="O13" s="94">
        <v>0</v>
      </c>
      <c r="P13" s="94">
        <v>0</v>
      </c>
      <c r="Q13" s="94">
        <v>0</v>
      </c>
      <c r="R13" s="94">
        <f t="shared" si="0"/>
        <v>17.967213114754099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68078.050757890713</v>
      </c>
      <c r="C14" s="91">
        <f t="shared" si="3"/>
        <v>74149.115183939706</v>
      </c>
      <c r="D14" s="91">
        <f t="shared" si="4"/>
        <v>74678.884101354357</v>
      </c>
      <c r="E14" s="91">
        <f t="shared" si="5"/>
        <v>75212.445359208126</v>
      </c>
      <c r="F14" s="91">
        <f t="shared" si="6"/>
        <v>75749.826157387986</v>
      </c>
      <c r="G14" s="91">
        <f t="shared" si="7"/>
        <v>76291.053891217889</v>
      </c>
      <c r="H14" s="91">
        <f t="shared" si="8"/>
        <v>76836.15615291732</v>
      </c>
      <c r="I14" s="91">
        <f t="shared" si="9"/>
        <v>77385.160732972945</v>
      </c>
      <c r="J14" s="91">
        <f t="shared" si="10"/>
        <v>77938.095621595072</v>
      </c>
      <c r="K14" s="91">
        <f t="shared" si="11"/>
        <v>78494.989010162913</v>
      </c>
      <c r="L14" s="91">
        <f t="shared" si="12"/>
        <v>75212.445359208126</v>
      </c>
      <c r="M14" s="90" t="s">
        <v>1012</v>
      </c>
      <c r="N14" s="90">
        <f>657-$AD$19</f>
        <v>520</v>
      </c>
      <c r="O14" s="90">
        <v>0</v>
      </c>
      <c r="P14" s="90">
        <v>0</v>
      </c>
      <c r="Q14" s="90">
        <v>0</v>
      </c>
      <c r="R14" s="90">
        <f t="shared" si="0"/>
        <v>17.049180327868854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68078.050757890713</v>
      </c>
      <c r="C15" s="93">
        <f t="shared" si="3"/>
        <v>74149.115183939706</v>
      </c>
      <c r="D15" s="93">
        <f t="shared" si="4"/>
        <v>74678.884101354357</v>
      </c>
      <c r="E15" s="93">
        <f t="shared" si="5"/>
        <v>75212.445359208126</v>
      </c>
      <c r="F15" s="93">
        <f t="shared" si="6"/>
        <v>75749.826157387986</v>
      </c>
      <c r="G15" s="93">
        <f t="shared" si="7"/>
        <v>76291.053891217889</v>
      </c>
      <c r="H15" s="93">
        <f t="shared" si="8"/>
        <v>76836.15615291732</v>
      </c>
      <c r="I15" s="93">
        <f t="shared" si="9"/>
        <v>77385.160732972945</v>
      </c>
      <c r="J15" s="93">
        <f t="shared" si="10"/>
        <v>77938.095621595072</v>
      </c>
      <c r="K15" s="93">
        <f t="shared" si="11"/>
        <v>78494.989010162913</v>
      </c>
      <c r="L15" s="93">
        <f t="shared" si="12"/>
        <v>75212.445359208126</v>
      </c>
      <c r="M15" s="92" t="s">
        <v>1012</v>
      </c>
      <c r="N15" s="92">
        <f>657-$AD$19</f>
        <v>520</v>
      </c>
      <c r="O15" s="92">
        <v>0</v>
      </c>
      <c r="P15" s="92">
        <v>0</v>
      </c>
      <c r="Q15" s="92">
        <v>0</v>
      </c>
      <c r="R15" s="92">
        <f t="shared" si="0"/>
        <v>17.049180327868854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70956.300089512923</v>
      </c>
      <c r="C16" s="95">
        <f t="shared" si="3"/>
        <v>76576.332118957711</v>
      </c>
      <c r="D16" s="95">
        <f t="shared" si="4"/>
        <v>77064.335720614574</v>
      </c>
      <c r="E16" s="95">
        <f t="shared" si="5"/>
        <v>77555.456003801039</v>
      </c>
      <c r="F16" s="95">
        <f t="shared" si="6"/>
        <v>78049.712916592311</v>
      </c>
      <c r="G16" s="95">
        <f>$S16/(1+($AC$7-$O16+$P16)/36500)^$N16</f>
        <v>78547.126534991767</v>
      </c>
      <c r="H16" s="95">
        <f t="shared" si="8"/>
        <v>79047.717063800534</v>
      </c>
      <c r="I16" s="95">
        <f t="shared" si="9"/>
        <v>79551.504837403088</v>
      </c>
      <c r="J16" s="95">
        <f t="shared" si="10"/>
        <v>80058.51032062681</v>
      </c>
      <c r="K16" s="95">
        <f t="shared" si="11"/>
        <v>80568.754109586996</v>
      </c>
      <c r="L16" s="95">
        <f t="shared" si="12"/>
        <v>77555.456003801039</v>
      </c>
      <c r="M16" s="94" t="s">
        <v>1002</v>
      </c>
      <c r="N16" s="94">
        <f>601-$AD$19</f>
        <v>464</v>
      </c>
      <c r="O16" s="94">
        <v>0</v>
      </c>
      <c r="P16" s="94">
        <v>0</v>
      </c>
      <c r="Q16" s="94">
        <v>0</v>
      </c>
      <c r="R16" s="94">
        <f t="shared" si="0"/>
        <v>15.21311475409836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75783.112237988709</v>
      </c>
      <c r="C17" s="174">
        <f t="shared" si="3"/>
        <v>80598.400434374664</v>
      </c>
      <c r="D17" s="174">
        <f t="shared" si="4"/>
        <v>81013.262124925881</v>
      </c>
      <c r="E17" s="174">
        <f t="shared" si="5"/>
        <v>81430.264944200171</v>
      </c>
      <c r="F17" s="174">
        <f t="shared" si="6"/>
        <v>81849.419972256044</v>
      </c>
      <c r="G17" s="174">
        <f t="shared" si="7"/>
        <v>82270.738346622951</v>
      </c>
      <c r="H17" s="174">
        <f t="shared" si="8"/>
        <v>82694.231262639849</v>
      </c>
      <c r="I17" s="174">
        <f t="shared" si="9"/>
        <v>83119.909973720321</v>
      </c>
      <c r="J17" s="174">
        <f t="shared" si="10"/>
        <v>83547.785791677263</v>
      </c>
      <c r="K17" s="174">
        <f t="shared" si="11"/>
        <v>83977.870087032104</v>
      </c>
      <c r="L17" s="174">
        <f t="shared" si="12"/>
        <v>81430.264944200171</v>
      </c>
      <c r="M17" s="172" t="s">
        <v>3900</v>
      </c>
      <c r="N17" s="172">
        <f>512-$AD$19</f>
        <v>375</v>
      </c>
      <c r="O17" s="172">
        <v>0</v>
      </c>
      <c r="P17" s="172">
        <v>0</v>
      </c>
      <c r="Q17" s="172">
        <v>0</v>
      </c>
      <c r="R17" s="172">
        <f t="shared" si="0"/>
        <v>12.295081967213115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57643.530786933741</v>
      </c>
      <c r="C18" s="95">
        <f>$S18/(1+($AC$3-$O18+$P18)/36500)^$N18</f>
        <v>65148.110854357306</v>
      </c>
      <c r="D18" s="95">
        <f t="shared" si="4"/>
        <v>65816.001146781011</v>
      </c>
      <c r="E18" s="95">
        <f t="shared" si="5"/>
        <v>66490.747852069413</v>
      </c>
      <c r="F18" s="95">
        <f t="shared" si="6"/>
        <v>67172.421451964954</v>
      </c>
      <c r="G18" s="95">
        <f t="shared" si="7"/>
        <v>67861.09315368715</v>
      </c>
      <c r="H18" s="95">
        <f t="shared" si="8"/>
        <v>68556.834897475768</v>
      </c>
      <c r="I18" s="95">
        <f t="shared" si="9"/>
        <v>69259.71936408765</v>
      </c>
      <c r="J18" s="95">
        <f t="shared" si="10"/>
        <v>69969.819982467059</v>
      </c>
      <c r="K18" s="95">
        <f t="shared" si="11"/>
        <v>70687.210937466953</v>
      </c>
      <c r="L18" s="95">
        <f t="shared" si="12"/>
        <v>66490.747852069413</v>
      </c>
      <c r="M18" s="94" t="s">
        <v>3955</v>
      </c>
      <c r="N18" s="94">
        <f>882-$AD$19</f>
        <v>745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69503.432094003918</v>
      </c>
      <c r="C19" s="91">
        <f t="shared" si="3"/>
        <v>85494.893106396994</v>
      </c>
      <c r="D19" s="91">
        <f t="shared" si="4"/>
        <v>86983.190726506902</v>
      </c>
      <c r="E19" s="91">
        <f t="shared" si="5"/>
        <v>88497.417595379695</v>
      </c>
      <c r="F19" s="91">
        <f t="shared" si="6"/>
        <v>90038.025819033253</v>
      </c>
      <c r="G19" s="91">
        <f t="shared" si="7"/>
        <v>91605.475392909138</v>
      </c>
      <c r="H19" s="91">
        <f t="shared" si="8"/>
        <v>93200.23433958528</v>
      </c>
      <c r="I19" s="91">
        <f t="shared" si="9"/>
        <v>94822.778848820206</v>
      </c>
      <c r="J19" s="91">
        <f t="shared" si="10"/>
        <v>96473.593420504738</v>
      </c>
      <c r="K19" s="91">
        <f t="shared" si="11"/>
        <v>98153.171009468308</v>
      </c>
      <c r="L19" s="91">
        <f t="shared" si="12"/>
        <v>88497.417595379695</v>
      </c>
      <c r="M19" s="90" t="s">
        <v>1017</v>
      </c>
      <c r="N19" s="90">
        <f>1397-$AD$19</f>
        <v>1260</v>
      </c>
      <c r="O19" s="90">
        <v>17</v>
      </c>
      <c r="P19" s="90">
        <f>$AI$2</f>
        <v>0.54</v>
      </c>
      <c r="Q19" s="90">
        <v>6</v>
      </c>
      <c r="R19" s="90">
        <f t="shared" si="0"/>
        <v>41.311475409836063</v>
      </c>
      <c r="S19" s="91">
        <v>100000</v>
      </c>
      <c r="T19" s="91">
        <v>96000</v>
      </c>
      <c r="U19" s="91">
        <f t="shared" si="13"/>
        <v>176458.61374298413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137</v>
      </c>
      <c r="AF19" s="26"/>
    </row>
    <row r="20" spans="1:32">
      <c r="A20" s="92" t="s">
        <v>964</v>
      </c>
      <c r="B20" s="93">
        <f>$S20/(1+($AC$2-$O20+$P20)/36500)^$N20</f>
        <v>92662.18049300545</v>
      </c>
      <c r="C20" s="93">
        <f t="shared" si="3"/>
        <v>99399.336040861308</v>
      </c>
      <c r="D20" s="93">
        <f>$S20/(1+($AC$4-$O20+$P20)/36500)^$N20</f>
        <v>99982.4535979637</v>
      </c>
      <c r="E20" s="93">
        <f t="shared" si="5"/>
        <v>100569.00002182402</v>
      </c>
      <c r="F20" s="93">
        <f t="shared" si="6"/>
        <v>101158.99552236956</v>
      </c>
      <c r="G20" s="93">
        <f t="shared" si="7"/>
        <v>101752.460428914</v>
      </c>
      <c r="H20" s="93">
        <f t="shared" si="8"/>
        <v>102349.41519088529</v>
      </c>
      <c r="I20" s="93">
        <f t="shared" si="9"/>
        <v>102949.8803785092</v>
      </c>
      <c r="J20" s="93">
        <f t="shared" si="10"/>
        <v>103553.8766835657</v>
      </c>
      <c r="K20" s="93">
        <f t="shared" si="11"/>
        <v>104161.42492007444</v>
      </c>
      <c r="L20" s="93">
        <f t="shared" si="12"/>
        <v>100569.00002182402</v>
      </c>
      <c r="M20" s="92" t="s">
        <v>983</v>
      </c>
      <c r="N20" s="92">
        <f>564-$AD$19</f>
        <v>427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</v>
      </c>
      <c r="S20" s="93">
        <v>100000</v>
      </c>
      <c r="T20" s="93">
        <v>100000</v>
      </c>
      <c r="U20" s="93">
        <f t="shared" si="13"/>
        <v>127066.00262132192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86931.408503086845</v>
      </c>
      <c r="C21" s="95">
        <f t="shared" si="3"/>
        <v>93511.897892674591</v>
      </c>
      <c r="D21" s="95">
        <f t="shared" si="4"/>
        <v>94082.305817084169</v>
      </c>
      <c r="E21" s="95">
        <f t="shared" si="5"/>
        <v>94656.201024833776</v>
      </c>
      <c r="F21" s="95">
        <f t="shared" si="6"/>
        <v>95233.604884189292</v>
      </c>
      <c r="G21" s="95">
        <f t="shared" si="7"/>
        <v>95814.538894686644</v>
      </c>
      <c r="H21" s="95">
        <f t="shared" si="8"/>
        <v>96399.024687864876</v>
      </c>
      <c r="I21" s="95">
        <f t="shared" si="9"/>
        <v>96987.084028134559</v>
      </c>
      <c r="J21" s="95">
        <f t="shared" si="10"/>
        <v>97578.738813577424</v>
      </c>
      <c r="K21" s="95">
        <f t="shared" si="11"/>
        <v>98174.011076741706</v>
      </c>
      <c r="L21" s="95">
        <f t="shared" si="12"/>
        <v>94656.201024833776</v>
      </c>
      <c r="M21" s="94" t="s">
        <v>984</v>
      </c>
      <c r="N21" s="94">
        <f>581-$AD$19</f>
        <v>444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14.557377049180328</v>
      </c>
      <c r="S21" s="95">
        <v>100000</v>
      </c>
      <c r="T21" s="95">
        <v>92000</v>
      </c>
      <c r="U21" s="95">
        <f t="shared" si="13"/>
        <v>120715.47598989905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91528.050078756351</v>
      </c>
      <c r="C22" s="91">
        <f t="shared" si="3"/>
        <v>99302.612433069458</v>
      </c>
      <c r="D22" s="91">
        <f t="shared" si="4"/>
        <v>99979.618519853058</v>
      </c>
      <c r="E22" s="91">
        <f t="shared" si="5"/>
        <v>100661.24953649318</v>
      </c>
      <c r="F22" s="91">
        <f t="shared" si="6"/>
        <v>101347.53714195891</v>
      </c>
      <c r="G22" s="91">
        <f t="shared" si="7"/>
        <v>102038.51321235906</v>
      </c>
      <c r="H22" s="91">
        <f t="shared" si="8"/>
        <v>102734.20984245889</v>
      </c>
      <c r="I22" s="91">
        <f t="shared" si="9"/>
        <v>103434.6593471504</v>
      </c>
      <c r="J22" s="91">
        <f t="shared" si="10"/>
        <v>104139.89426301354</v>
      </c>
      <c r="K22" s="91">
        <f t="shared" si="11"/>
        <v>104849.94734979951</v>
      </c>
      <c r="L22" s="91">
        <f t="shared" si="12"/>
        <v>100661.24953649318</v>
      </c>
      <c r="M22" s="90" t="s">
        <v>985</v>
      </c>
      <c r="N22" s="90">
        <f>633-$AD$19</f>
        <v>496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16.262295081967213</v>
      </c>
      <c r="S22" s="91">
        <v>100000</v>
      </c>
      <c r="T22" s="91">
        <v>100000</v>
      </c>
      <c r="U22" s="91">
        <f t="shared" si="13"/>
        <v>132080.81310586157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90423.937924790822</v>
      </c>
      <c r="C23" s="93">
        <f t="shared" si="3"/>
        <v>99207.38270083486</v>
      </c>
      <c r="D23" s="93">
        <f t="shared" si="4"/>
        <v>99976.82460848261</v>
      </c>
      <c r="E23" s="93">
        <f t="shared" si="5"/>
        <v>100752.24488891869</v>
      </c>
      <c r="F23" s="93">
        <f t="shared" si="6"/>
        <v>101533.69007547971</v>
      </c>
      <c r="G23" s="93">
        <f t="shared" si="7"/>
        <v>102321.20706432968</v>
      </c>
      <c r="H23" s="93">
        <f t="shared" si="8"/>
        <v>103114.84311732183</v>
      </c>
      <c r="I23" s="93">
        <f t="shared" si="9"/>
        <v>103914.64586481829</v>
      </c>
      <c r="J23" s="93">
        <f t="shared" si="10"/>
        <v>104720.66330862339</v>
      </c>
      <c r="K23" s="93">
        <f t="shared" si="11"/>
        <v>105532.94382483941</v>
      </c>
      <c r="L23" s="93">
        <f t="shared" si="12"/>
        <v>100752.24488891869</v>
      </c>
      <c r="M23" s="92" t="s">
        <v>986</v>
      </c>
      <c r="N23" s="92">
        <f>701-$AD$19</f>
        <v>564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18.491803278688526</v>
      </c>
      <c r="S23" s="93">
        <v>100000</v>
      </c>
      <c r="T23" s="93">
        <v>100000</v>
      </c>
      <c r="U23" s="93">
        <f t="shared" si="13"/>
        <v>137216.54234196706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85723.36873860356</v>
      </c>
      <c r="C24" s="95">
        <f t="shared" si="3"/>
        <v>94467.779309937527</v>
      </c>
      <c r="D24" s="95">
        <f t="shared" si="4"/>
        <v>95235.615378919174</v>
      </c>
      <c r="E24" s="95">
        <f t="shared" si="5"/>
        <v>96009.703081355692</v>
      </c>
      <c r="F24" s="95">
        <f t="shared" si="6"/>
        <v>96790.093404025582</v>
      </c>
      <c r="G24" s="95">
        <f t="shared" si="7"/>
        <v>97576.837750218387</v>
      </c>
      <c r="H24" s="95">
        <f t="shared" si="8"/>
        <v>98369.987943209475</v>
      </c>
      <c r="I24" s="95">
        <f t="shared" si="9"/>
        <v>99169.596229619987</v>
      </c>
      <c r="J24" s="95">
        <f t="shared" si="10"/>
        <v>99975.715282975681</v>
      </c>
      <c r="K24" s="95">
        <f t="shared" si="11"/>
        <v>100788.39820710271</v>
      </c>
      <c r="L24" s="95">
        <f t="shared" si="12"/>
        <v>96009.703081355692</v>
      </c>
      <c r="M24" s="94" t="s">
        <v>1015</v>
      </c>
      <c r="N24" s="94">
        <f>728-$AD$19</f>
        <v>591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19.377049180327869</v>
      </c>
      <c r="S24" s="95">
        <v>100000</v>
      </c>
      <c r="T24" s="95">
        <v>95000</v>
      </c>
      <c r="U24" s="95">
        <f t="shared" si="13"/>
        <v>132706.76703792886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84498.241778209005</v>
      </c>
      <c r="C25" s="91">
        <f t="shared" si="3"/>
        <v>92248.966120885321</v>
      </c>
      <c r="D25" s="91">
        <f t="shared" si="4"/>
        <v>92926.149748128038</v>
      </c>
      <c r="E25" s="91">
        <f t="shared" si="5"/>
        <v>93608.313840271949</v>
      </c>
      <c r="F25" s="91">
        <f t="shared" si="6"/>
        <v>94295.495095957682</v>
      </c>
      <c r="G25" s="91">
        <f t="shared" si="7"/>
        <v>94987.73048479775</v>
      </c>
      <c r="H25" s="91">
        <f t="shared" si="8"/>
        <v>95685.057249291029</v>
      </c>
      <c r="I25" s="91">
        <f t="shared" si="9"/>
        <v>96387.512906908159</v>
      </c>
      <c r="J25" s="91">
        <f t="shared" si="10"/>
        <v>97095.135252103297</v>
      </c>
      <c r="K25" s="91">
        <f t="shared" si="11"/>
        <v>97807.96235833026</v>
      </c>
      <c r="L25" s="91">
        <f t="shared" si="12"/>
        <v>93608.313840271949</v>
      </c>
      <c r="M25" s="90" t="s">
        <v>987</v>
      </c>
      <c r="N25" s="90">
        <f>671-$AD$19</f>
        <v>534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17.508196721311474</v>
      </c>
      <c r="S25" s="91">
        <v>100000</v>
      </c>
      <c r="T25" s="91">
        <v>90600</v>
      </c>
      <c r="U25" s="91">
        <f t="shared" si="13"/>
        <v>125411.25744662844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74729.875147584447</v>
      </c>
      <c r="C26" s="93">
        <f t="shared" si="3"/>
        <v>85904.892496712608</v>
      </c>
      <c r="D26" s="93">
        <f>$S26/(1+($AC$4-$O26+$P26)/36500)^$N26</f>
        <v>86908.446019463096</v>
      </c>
      <c r="E26" s="93">
        <f t="shared" si="5"/>
        <v>87923.737187895327</v>
      </c>
      <c r="F26" s="93">
        <f t="shared" si="6"/>
        <v>88950.903450091922</v>
      </c>
      <c r="G26" s="93">
        <f t="shared" si="7"/>
        <v>89990.083865592009</v>
      </c>
      <c r="H26" s="93">
        <f t="shared" si="8"/>
        <v>91041.41912421475</v>
      </c>
      <c r="I26" s="93">
        <f t="shared" si="9"/>
        <v>92105.051565346759</v>
      </c>
      <c r="J26" s="93">
        <f t="shared" si="10"/>
        <v>93181.125197148765</v>
      </c>
      <c r="K26" s="93">
        <f t="shared" si="11"/>
        <v>94269.785716278813</v>
      </c>
      <c r="L26" s="93">
        <f t="shared" si="12"/>
        <v>87923.737187895327</v>
      </c>
      <c r="M26" s="92" t="s">
        <v>988</v>
      </c>
      <c r="N26" s="92">
        <f>985-$AD$19</f>
        <v>848</v>
      </c>
      <c r="O26" s="92">
        <v>15</v>
      </c>
      <c r="P26" s="92">
        <f>$AI$2</f>
        <v>0.54</v>
      </c>
      <c r="Q26" s="92">
        <v>6</v>
      </c>
      <c r="R26" s="92">
        <f t="shared" si="0"/>
        <v>27.803278688524589</v>
      </c>
      <c r="S26" s="93">
        <v>100000</v>
      </c>
      <c r="T26" s="93">
        <v>85800</v>
      </c>
      <c r="U26" s="93">
        <f t="shared" si="13"/>
        <v>139901.09690886637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84610.122123886453</v>
      </c>
      <c r="C27" s="95">
        <f t="shared" si="3"/>
        <v>87810.420624656253</v>
      </c>
      <c r="D27" s="95">
        <f t="shared" si="4"/>
        <v>88082.538372924784</v>
      </c>
      <c r="E27" s="95">
        <f t="shared" si="5"/>
        <v>88355.50313609236</v>
      </c>
      <c r="F27" s="95">
        <f t="shared" si="6"/>
        <v>88629.317562300479</v>
      </c>
      <c r="G27" s="95">
        <f t="shared" si="7"/>
        <v>88903.984307993349</v>
      </c>
      <c r="H27" s="95">
        <f t="shared" si="8"/>
        <v>89179.506037969957</v>
      </c>
      <c r="I27" s="95">
        <f t="shared" si="9"/>
        <v>89455.885425387285</v>
      </c>
      <c r="J27" s="95">
        <f t="shared" si="10"/>
        <v>89733.1251518012</v>
      </c>
      <c r="K27" s="95">
        <f t="shared" si="11"/>
        <v>90011.22790719656</v>
      </c>
      <c r="L27" s="95">
        <f t="shared" si="12"/>
        <v>88355.50313609236</v>
      </c>
      <c r="M27" s="94" t="s">
        <v>989</v>
      </c>
      <c r="N27" s="94">
        <f>363-$AD$19</f>
        <v>226</v>
      </c>
      <c r="O27" s="94">
        <v>0</v>
      </c>
      <c r="P27" s="94">
        <v>0</v>
      </c>
      <c r="Q27" s="94">
        <v>0</v>
      </c>
      <c r="R27" s="94">
        <f t="shared" si="0"/>
        <v>7.4098360655737707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79134.148458613912</v>
      </c>
      <c r="C28" s="91">
        <f t="shared" si="3"/>
        <v>95332.226003966454</v>
      </c>
      <c r="D28" s="91">
        <f t="shared" si="4"/>
        <v>96823.323080174363</v>
      </c>
      <c r="E28" s="91">
        <f t="shared" si="5"/>
        <v>98337.763401769946</v>
      </c>
      <c r="F28" s="91">
        <f t="shared" si="6"/>
        <v>99875.91273647215</v>
      </c>
      <c r="G28" s="91">
        <f t="shared" si="7"/>
        <v>101438.1425883398</v>
      </c>
      <c r="H28" s="91">
        <f t="shared" si="8"/>
        <v>103024.83028789079</v>
      </c>
      <c r="I28" s="91">
        <f t="shared" si="9"/>
        <v>104636.35908351</v>
      </c>
      <c r="J28" s="91">
        <f t="shared" si="10"/>
        <v>106273.11823434736</v>
      </c>
      <c r="K28" s="91">
        <f t="shared" si="11"/>
        <v>107935.50310472897</v>
      </c>
      <c r="L28" s="91">
        <f t="shared" si="12"/>
        <v>98337.763401769946</v>
      </c>
      <c r="M28" s="90" t="s">
        <v>980</v>
      </c>
      <c r="N28" s="90">
        <f>1270-$AD$19</f>
        <v>1133</v>
      </c>
      <c r="O28" s="90">
        <v>20</v>
      </c>
      <c r="P28" s="90">
        <f>$AI$2</f>
        <v>0.54</v>
      </c>
      <c r="Q28" s="90">
        <v>6</v>
      </c>
      <c r="R28" s="90">
        <f t="shared" si="0"/>
        <v>37.147540983606561</v>
      </c>
      <c r="S28" s="91">
        <v>100000</v>
      </c>
      <c r="T28" s="91">
        <v>100000</v>
      </c>
      <c r="U28" s="91">
        <f t="shared" si="13"/>
        <v>182900.85868126072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96774.628201542844</v>
      </c>
      <c r="C29" s="93">
        <f t="shared" si="3"/>
        <v>100288.76049373159</v>
      </c>
      <c r="D29" s="93">
        <f t="shared" si="4"/>
        <v>100587.32869267152</v>
      </c>
      <c r="E29" s="93">
        <f t="shared" si="5"/>
        <v>100886.78986301045</v>
      </c>
      <c r="F29" s="93">
        <f t="shared" si="6"/>
        <v>101187.14668777891</v>
      </c>
      <c r="G29" s="93">
        <f t="shared" si="7"/>
        <v>101488.40185809665</v>
      </c>
      <c r="H29" s="93">
        <f t="shared" si="8"/>
        <v>101790.55807321786</v>
      </c>
      <c r="I29" s="93">
        <f t="shared" si="9"/>
        <v>102093.61804053858</v>
      </c>
      <c r="J29" s="93">
        <f t="shared" si="10"/>
        <v>102397.58447562631</v>
      </c>
      <c r="K29" s="93">
        <f t="shared" si="11"/>
        <v>102702.46010224728</v>
      </c>
      <c r="L29" s="93">
        <f t="shared" si="12"/>
        <v>100886.78986301045</v>
      </c>
      <c r="M29" s="92" t="s">
        <v>982</v>
      </c>
      <c r="N29" s="92">
        <f>354-$AD$19</f>
        <v>217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7.1147540983606561</v>
      </c>
      <c r="S29" s="93">
        <v>100000</v>
      </c>
      <c r="T29" s="93">
        <v>103000</v>
      </c>
      <c r="U29" s="93">
        <f t="shared" si="13"/>
        <v>113618.4677351034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90044.328928325005</v>
      </c>
      <c r="C30" s="95">
        <f t="shared" si="3"/>
        <v>100000</v>
      </c>
      <c r="D30" s="95">
        <f t="shared" si="4"/>
        <v>100877.80893244187</v>
      </c>
      <c r="E30" s="95">
        <f t="shared" si="5"/>
        <v>101763.33553376984</v>
      </c>
      <c r="F30" s="95">
        <f t="shared" si="6"/>
        <v>102656.64776462202</v>
      </c>
      <c r="G30" s="95">
        <f t="shared" si="7"/>
        <v>103557.81418499562</v>
      </c>
      <c r="H30" s="95">
        <f t="shared" si="8"/>
        <v>104466.9039596291</v>
      </c>
      <c r="I30" s="95">
        <f t="shared" si="9"/>
        <v>105383.98686324952</v>
      </c>
      <c r="J30" s="95">
        <f t="shared" si="10"/>
        <v>106309.13328602319</v>
      </c>
      <c r="K30" s="95">
        <f t="shared" si="11"/>
        <v>107242.41423895795</v>
      </c>
      <c r="L30" s="95">
        <f t="shared" si="12"/>
        <v>101763.33553376984</v>
      </c>
      <c r="M30" s="94" t="s">
        <v>1008</v>
      </c>
      <c r="N30" s="94">
        <f>775-$AD$19</f>
        <v>638</v>
      </c>
      <c r="O30" s="94">
        <v>21</v>
      </c>
      <c r="P30" s="94">
        <v>0</v>
      </c>
      <c r="Q30" s="94">
        <v>1</v>
      </c>
      <c r="R30" s="94">
        <f t="shared" si="0"/>
        <v>20.918032786885245</v>
      </c>
      <c r="S30" s="95">
        <v>100000</v>
      </c>
      <c r="T30" s="95">
        <v>104000</v>
      </c>
      <c r="U30" s="95">
        <f t="shared" si="13"/>
        <v>144325.74013070093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70840.580890245852</v>
      </c>
      <c r="C31" s="91">
        <f t="shared" si="3"/>
        <v>86199.592386880016</v>
      </c>
      <c r="D31" s="91">
        <f t="shared" si="4"/>
        <v>87620.912022261997</v>
      </c>
      <c r="E31" s="91">
        <f t="shared" si="5"/>
        <v>89065.687328981745</v>
      </c>
      <c r="F31" s="91">
        <f t="shared" si="6"/>
        <v>90534.305719141877</v>
      </c>
      <c r="G31" s="91">
        <f t="shared" si="7"/>
        <v>92027.161009163479</v>
      </c>
      <c r="H31" s="91">
        <f t="shared" si="8"/>
        <v>93544.653525677451</v>
      </c>
      <c r="I31" s="91">
        <f t="shared" si="9"/>
        <v>95087.190213098249</v>
      </c>
      <c r="J31" s="91">
        <f t="shared" si="10"/>
        <v>96655.184743415506</v>
      </c>
      <c r="K31" s="91">
        <f t="shared" si="11"/>
        <v>98249.057627191898</v>
      </c>
      <c r="L31" s="91">
        <f t="shared" si="12"/>
        <v>89065.687328981745</v>
      </c>
      <c r="M31" s="90" t="s">
        <v>1058</v>
      </c>
      <c r="N31" s="90">
        <f>1331-$AD$19</f>
        <v>1194</v>
      </c>
      <c r="O31" s="90">
        <v>17</v>
      </c>
      <c r="P31" s="90">
        <f>AI2</f>
        <v>0.54</v>
      </c>
      <c r="Q31" s="90">
        <v>6</v>
      </c>
      <c r="R31" s="90">
        <f t="shared" si="0"/>
        <v>39.147540983606561</v>
      </c>
      <c r="S31" s="91">
        <v>100000</v>
      </c>
      <c r="T31" s="91"/>
      <c r="U31" s="91">
        <f t="shared" si="13"/>
        <v>171286.63400514267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4017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15000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4382698.3922829572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-21</v>
      </c>
      <c r="C91" s="152">
        <f>$B$89/(1+(C$90/36500))^$B91</f>
        <v>3031222.1872341046</v>
      </c>
      <c r="D91" s="152">
        <f>$B$89/(1+(D$90/36500))^$B91</f>
        <v>3032965.7958727931</v>
      </c>
      <c r="E91" s="152">
        <f t="shared" ref="E91:L106" si="5">$B$89/(1+(E$90/36500))^$B91</f>
        <v>3034710.3596779332</v>
      </c>
      <c r="F91" s="152">
        <f t="shared" si="5"/>
        <v>3036455.8791465964</v>
      </c>
      <c r="G91" s="152">
        <f t="shared" si="5"/>
        <v>3038202.3547760812</v>
      </c>
      <c r="H91" s="152">
        <f t="shared" si="5"/>
        <v>3039949.7870639879</v>
      </c>
      <c r="I91" s="152">
        <f t="shared" si="5"/>
        <v>3041698.1765081119</v>
      </c>
      <c r="J91" s="152">
        <f t="shared" si="5"/>
        <v>3043447.5236065006</v>
      </c>
      <c r="K91" s="152">
        <f>$B$89/(1+(K$90/36500))^$B91</f>
        <v>3045197.8288574563</v>
      </c>
      <c r="L91" s="152">
        <f t="shared" si="5"/>
        <v>3046949.0927595347</v>
      </c>
    </row>
    <row r="92" spans="1:12">
      <c r="A92" s="153" t="s">
        <v>3903</v>
      </c>
      <c r="B92" s="92">
        <f>120-'اوراق بدون ریسک'!$AD$19</f>
        <v>-17</v>
      </c>
      <c r="C92" s="154">
        <f t="shared" ref="C92:L112" si="6">$B$89/(1+(C$90/36500))^$B92</f>
        <v>3025250.1546377949</v>
      </c>
      <c r="D92" s="154">
        <f t="shared" si="6"/>
        <v>3026658.7893050942</v>
      </c>
      <c r="E92" s="154">
        <f t="shared" si="5"/>
        <v>3028068.041270039</v>
      </c>
      <c r="F92" s="154">
        <f t="shared" si="5"/>
        <v>3029477.910786232</v>
      </c>
      <c r="G92" s="154">
        <f t="shared" si="5"/>
        <v>3030888.3981073513</v>
      </c>
      <c r="H92" s="154">
        <f t="shared" si="5"/>
        <v>3032299.5034872219</v>
      </c>
      <c r="I92" s="154">
        <f t="shared" si="5"/>
        <v>3033711.2271797261</v>
      </c>
      <c r="J92" s="154">
        <f t="shared" si="5"/>
        <v>3035123.5694388468</v>
      </c>
      <c r="K92" s="154">
        <f t="shared" si="5"/>
        <v>3036536.5305186734</v>
      </c>
      <c r="L92" s="154">
        <f t="shared" si="5"/>
        <v>3037950.1106733978</v>
      </c>
    </row>
    <row r="93" spans="1:12">
      <c r="A93" s="155" t="s">
        <v>3904</v>
      </c>
      <c r="B93" s="156">
        <f>137-'اوراق بدون ریسک'!$AD$19</f>
        <v>0</v>
      </c>
      <c r="C93" s="157">
        <f t="shared" si="6"/>
        <v>3000000</v>
      </c>
      <c r="D93" s="157">
        <f t="shared" si="6"/>
        <v>3000000</v>
      </c>
      <c r="E93" s="157">
        <f t="shared" si="5"/>
        <v>3000000</v>
      </c>
      <c r="F93" s="157">
        <f t="shared" si="5"/>
        <v>3000000</v>
      </c>
      <c r="G93" s="157">
        <f t="shared" si="5"/>
        <v>3000000</v>
      </c>
      <c r="H93" s="157">
        <f t="shared" si="5"/>
        <v>3000000</v>
      </c>
      <c r="I93" s="157">
        <f t="shared" si="5"/>
        <v>3000000</v>
      </c>
      <c r="J93" s="157">
        <f t="shared" si="5"/>
        <v>3000000</v>
      </c>
      <c r="K93" s="157">
        <f t="shared" si="5"/>
        <v>3000000</v>
      </c>
      <c r="L93" s="157">
        <f t="shared" si="5"/>
        <v>3000000</v>
      </c>
    </row>
    <row r="94" spans="1:12">
      <c r="A94" s="158" t="s">
        <v>3905</v>
      </c>
      <c r="B94" s="159">
        <f>116-'اوراق بدون ریسک'!$AD$19</f>
        <v>-21</v>
      </c>
      <c r="C94" s="160">
        <f t="shared" si="6"/>
        <v>3031222.1872341046</v>
      </c>
      <c r="D94" s="160">
        <f t="shared" si="6"/>
        <v>3032965.7958727931</v>
      </c>
      <c r="E94" s="160">
        <f t="shared" si="5"/>
        <v>3034710.3596779332</v>
      </c>
      <c r="F94" s="160">
        <f t="shared" si="5"/>
        <v>3036455.8791465964</v>
      </c>
      <c r="G94" s="160">
        <f t="shared" si="5"/>
        <v>3038202.3547760812</v>
      </c>
      <c r="H94" s="160">
        <f t="shared" si="5"/>
        <v>3039949.7870639879</v>
      </c>
      <c r="I94" s="160">
        <f t="shared" si="5"/>
        <v>3041698.1765081119</v>
      </c>
      <c r="J94" s="160">
        <f t="shared" si="5"/>
        <v>3043447.5236065006</v>
      </c>
      <c r="K94" s="160">
        <f t="shared" si="5"/>
        <v>3045197.8288574563</v>
      </c>
      <c r="L94" s="160">
        <f t="shared" si="5"/>
        <v>3046949.0927595347</v>
      </c>
    </row>
    <row r="95" spans="1:12">
      <c r="A95" s="161" t="s">
        <v>3906</v>
      </c>
      <c r="B95" s="162">
        <f>167-'اوراق بدون ریسک'!$AD$19</f>
        <v>30</v>
      </c>
      <c r="C95" s="163">
        <f t="shared" si="6"/>
        <v>2955953.9216378499</v>
      </c>
      <c r="D95" s="163">
        <f t="shared" si="6"/>
        <v>2953526.5984230046</v>
      </c>
      <c r="E95" s="163">
        <f t="shared" si="5"/>
        <v>2951101.3348234599</v>
      </c>
      <c r="F95" s="163">
        <f t="shared" si="5"/>
        <v>2948678.1290352782</v>
      </c>
      <c r="G95" s="163">
        <f t="shared" si="5"/>
        <v>2946256.9792561862</v>
      </c>
      <c r="H95" s="163">
        <f t="shared" si="5"/>
        <v>2943837.8836854533</v>
      </c>
      <c r="I95" s="163">
        <f t="shared" si="5"/>
        <v>2941420.8405240471</v>
      </c>
      <c r="J95" s="163">
        <f t="shared" si="5"/>
        <v>2939005.8479745523</v>
      </c>
      <c r="K95" s="163">
        <f t="shared" si="5"/>
        <v>2936592.9042411572</v>
      </c>
      <c r="L95" s="163">
        <f t="shared" si="5"/>
        <v>2934182.0075296718</v>
      </c>
    </row>
    <row r="96" spans="1:12">
      <c r="A96" s="166" t="s">
        <v>3907</v>
      </c>
      <c r="B96" s="167">
        <f>181-'اوراق بدون ریسک'!$AD$19</f>
        <v>44</v>
      </c>
      <c r="C96" s="168">
        <f t="shared" si="6"/>
        <v>2935620.9762026034</v>
      </c>
      <c r="D96" s="168">
        <f t="shared" si="6"/>
        <v>2932086.0681596296</v>
      </c>
      <c r="E96" s="168">
        <f t="shared" si="5"/>
        <v>2928555.5132724405</v>
      </c>
      <c r="F96" s="168">
        <f t="shared" si="5"/>
        <v>2925029.3060612478</v>
      </c>
      <c r="G96" s="168">
        <f t="shared" si="5"/>
        <v>2921507.4410533565</v>
      </c>
      <c r="H96" s="168">
        <f t="shared" si="5"/>
        <v>2917989.9127829936</v>
      </c>
      <c r="I96" s="168">
        <f t="shared" si="5"/>
        <v>2914476.71579151</v>
      </c>
      <c r="J96" s="168">
        <f t="shared" si="5"/>
        <v>2910967.8446272747</v>
      </c>
      <c r="K96" s="168">
        <f t="shared" si="5"/>
        <v>2907463.2938456344</v>
      </c>
      <c r="L96" s="168">
        <f t="shared" si="5"/>
        <v>2903963.0580089367</v>
      </c>
    </row>
    <row r="97" spans="1:12">
      <c r="A97" s="169" t="s">
        <v>3908</v>
      </c>
      <c r="B97" s="88">
        <f>197-'اوراق بدون ریسک'!$AD$19</f>
        <v>60</v>
      </c>
      <c r="C97" s="148">
        <f t="shared" si="6"/>
        <v>2912554.5289487289</v>
      </c>
      <c r="D97" s="148">
        <f t="shared" si="6"/>
        <v>2907773.1225307221</v>
      </c>
      <c r="E97" s="148">
        <f t="shared" si="5"/>
        <v>2902999.6961322683</v>
      </c>
      <c r="F97" s="148">
        <f t="shared" si="5"/>
        <v>2898234.2362169954</v>
      </c>
      <c r="G97" s="148">
        <f t="shared" si="5"/>
        <v>2893476.7292719283</v>
      </c>
      <c r="H97" s="148">
        <f t="shared" si="5"/>
        <v>2888727.1618072176</v>
      </c>
      <c r="I97" s="148">
        <f t="shared" si="5"/>
        <v>2883985.5203563976</v>
      </c>
      <c r="J97" s="148">
        <f t="shared" si="5"/>
        <v>2879251.7914762059</v>
      </c>
      <c r="K97" s="148">
        <f t="shared" si="5"/>
        <v>2874525.9617465064</v>
      </c>
      <c r="L97" s="148">
        <f t="shared" si="5"/>
        <v>2869808.0177702843</v>
      </c>
    </row>
    <row r="98" spans="1:12">
      <c r="A98" s="170" t="s">
        <v>3909</v>
      </c>
      <c r="B98" s="127">
        <f>214-'اوراق بدون ریسک'!$AD$19</f>
        <v>77</v>
      </c>
      <c r="C98" s="112">
        <f t="shared" si="6"/>
        <v>2888244.984782862</v>
      </c>
      <c r="D98" s="112">
        <f t="shared" si="6"/>
        <v>2882161.477341488</v>
      </c>
      <c r="E98" s="112">
        <f t="shared" si="5"/>
        <v>2876090.9496419565</v>
      </c>
      <c r="F98" s="112">
        <f t="shared" si="5"/>
        <v>2870033.3736364739</v>
      </c>
      <c r="G98" s="112">
        <f t="shared" si="5"/>
        <v>2863988.7213387042</v>
      </c>
      <c r="H98" s="112">
        <f t="shared" si="5"/>
        <v>2857956.9648233363</v>
      </c>
      <c r="I98" s="112">
        <f t="shared" si="5"/>
        <v>2851938.0762263383</v>
      </c>
      <c r="J98" s="112">
        <f t="shared" si="5"/>
        <v>2845932.0277446299</v>
      </c>
      <c r="K98" s="112">
        <f t="shared" si="5"/>
        <v>2839938.7916359161</v>
      </c>
      <c r="L98" s="112">
        <f t="shared" si="5"/>
        <v>2833958.3402185864</v>
      </c>
    </row>
    <row r="99" spans="1:12">
      <c r="A99" s="171" t="s">
        <v>3910</v>
      </c>
      <c r="B99" s="172">
        <f>272-'اوراق بدون ریسک'!$AD$19</f>
        <v>135</v>
      </c>
      <c r="C99" s="173">
        <f t="shared" si="6"/>
        <v>2806823.3309181235</v>
      </c>
      <c r="D99" s="173">
        <f t="shared" si="6"/>
        <v>2796466.3441208242</v>
      </c>
      <c r="E99" s="173">
        <f t="shared" si="5"/>
        <v>2786147.8559320774</v>
      </c>
      <c r="F99" s="173">
        <f t="shared" si="5"/>
        <v>2775867.722197968</v>
      </c>
      <c r="G99" s="173">
        <f t="shared" si="5"/>
        <v>2765625.7993084211</v>
      </c>
      <c r="H99" s="173">
        <f t="shared" si="5"/>
        <v>2755421.9441946265</v>
      </c>
      <c r="I99" s="173">
        <f t="shared" si="5"/>
        <v>2745256.0143276392</v>
      </c>
      <c r="J99" s="173">
        <f t="shared" si="5"/>
        <v>2735127.8677160256</v>
      </c>
      <c r="K99" s="173">
        <f t="shared" si="5"/>
        <v>2725037.3629037356</v>
      </c>
      <c r="L99" s="173">
        <f t="shared" si="5"/>
        <v>2714984.3589681559</v>
      </c>
    </row>
    <row r="100" spans="1:12">
      <c r="A100" s="155" t="s">
        <v>3911</v>
      </c>
      <c r="B100" s="156">
        <f>302-'اوراق بدون ریسک'!$AD$19</f>
        <v>165</v>
      </c>
      <c r="C100" s="157">
        <f t="shared" si="6"/>
        <v>2765613.4774573469</v>
      </c>
      <c r="D100" s="157">
        <f t="shared" si="6"/>
        <v>2753145.9096518657</v>
      </c>
      <c r="E100" s="157">
        <f t="shared" si="5"/>
        <v>2740734.8855522242</v>
      </c>
      <c r="F100" s="157">
        <f t="shared" si="5"/>
        <v>2728380.1471800413</v>
      </c>
      <c r="G100" s="157">
        <f t="shared" si="5"/>
        <v>2716081.4377411352</v>
      </c>
      <c r="H100" s="157">
        <f t="shared" si="5"/>
        <v>2703838.5016194563</v>
      </c>
      <c r="I100" s="157">
        <f t="shared" si="5"/>
        <v>2691651.0843724338</v>
      </c>
      <c r="J100" s="157">
        <f t="shared" si="5"/>
        <v>2679518.9327251883</v>
      </c>
      <c r="K100" s="157">
        <f t="shared" si="5"/>
        <v>2667441.7945650495</v>
      </c>
      <c r="L100" s="157">
        <f t="shared" si="5"/>
        <v>2655419.4189362805</v>
      </c>
    </row>
    <row r="101" spans="1:12">
      <c r="A101" s="158" t="s">
        <v>3912</v>
      </c>
      <c r="B101" s="159">
        <f>319-'اوراق بدون ریسک'!$AD$19</f>
        <v>182</v>
      </c>
      <c r="C101" s="160">
        <f t="shared" si="6"/>
        <v>2742530.3721256731</v>
      </c>
      <c r="D101" s="160">
        <f t="shared" si="6"/>
        <v>2728896.2198649165</v>
      </c>
      <c r="E101" s="160">
        <f t="shared" si="5"/>
        <v>2715330.2186723975</v>
      </c>
      <c r="F101" s="160">
        <f t="shared" si="5"/>
        <v>2701832.0260390532</v>
      </c>
      <c r="G101" s="160">
        <f t="shared" si="5"/>
        <v>2688401.3011866766</v>
      </c>
      <c r="H101" s="160">
        <f t="shared" si="5"/>
        <v>2675037.7050584606</v>
      </c>
      <c r="I101" s="160">
        <f t="shared" si="5"/>
        <v>2661740.9003111143</v>
      </c>
      <c r="J101" s="160">
        <f t="shared" si="5"/>
        <v>2648510.5513057536</v>
      </c>
      <c r="K101" s="160">
        <f t="shared" si="5"/>
        <v>2635346.3240991421</v>
      </c>
      <c r="L101" s="160">
        <f t="shared" si="5"/>
        <v>2622247.8864351814</v>
      </c>
    </row>
    <row r="102" spans="1:12">
      <c r="A102" s="155" t="s">
        <v>3913</v>
      </c>
      <c r="B102" s="156">
        <f>334-'اوراق بدون ریسک'!$AD$19</f>
        <v>197</v>
      </c>
      <c r="C102" s="157">
        <f t="shared" si="6"/>
        <v>2722322.9751994545</v>
      </c>
      <c r="D102" s="157">
        <f t="shared" si="6"/>
        <v>2707676.8728675474</v>
      </c>
      <c r="E102" s="157">
        <f t="shared" si="5"/>
        <v>2693109.9644078421</v>
      </c>
      <c r="F102" s="157">
        <f t="shared" si="5"/>
        <v>2678621.8194551696</v>
      </c>
      <c r="G102" s="157">
        <f t="shared" si="5"/>
        <v>2664212.0099949911</v>
      </c>
      <c r="H102" s="157">
        <f t="shared" si="5"/>
        <v>2649880.1103497902</v>
      </c>
      <c r="I102" s="157">
        <f t="shared" si="5"/>
        <v>2635625.6971671674</v>
      </c>
      <c r="J102" s="157">
        <f t="shared" si="5"/>
        <v>2621448.3494066503</v>
      </c>
      <c r="K102" s="157">
        <f t="shared" si="5"/>
        <v>2607347.6483268905</v>
      </c>
      <c r="L102" s="157">
        <f t="shared" si="5"/>
        <v>2593323.1774731562</v>
      </c>
    </row>
    <row r="103" spans="1:12">
      <c r="A103" s="158" t="s">
        <v>3914</v>
      </c>
      <c r="B103" s="159">
        <f>349-'اوراق بدون ریسک'!$AD$19</f>
        <v>212</v>
      </c>
      <c r="C103" s="160">
        <f t="shared" si="6"/>
        <v>2702264.4695652653</v>
      </c>
      <c r="D103" s="160">
        <f t="shared" si="6"/>
        <v>2686622.5232356759</v>
      </c>
      <c r="E103" s="160">
        <f t="shared" si="5"/>
        <v>2671071.5442701965</v>
      </c>
      <c r="F103" s="160">
        <f t="shared" si="5"/>
        <v>2655611.0011694762</v>
      </c>
      <c r="G103" s="160">
        <f t="shared" si="5"/>
        <v>2640240.3655542196</v>
      </c>
      <c r="H103" s="160">
        <f t="shared" si="5"/>
        <v>2624959.1121460311</v>
      </c>
      <c r="I103" s="160">
        <f t="shared" si="5"/>
        <v>2609766.7187501169</v>
      </c>
      <c r="J103" s="160">
        <f t="shared" si="5"/>
        <v>2594662.6662366381</v>
      </c>
      <c r="K103" s="160">
        <f t="shared" si="5"/>
        <v>2579646.4385225195</v>
      </c>
      <c r="L103" s="160">
        <f t="shared" si="5"/>
        <v>2564717.522553606</v>
      </c>
    </row>
    <row r="104" spans="1:12">
      <c r="A104" s="171" t="s">
        <v>3915</v>
      </c>
      <c r="B104" s="172">
        <f>361-'اوراق بدون ریسک'!$AD$19</f>
        <v>224</v>
      </c>
      <c r="C104" s="173">
        <f t="shared" si="6"/>
        <v>2686324.1292954339</v>
      </c>
      <c r="D104" s="173">
        <f t="shared" si="6"/>
        <v>2669896.9791307412</v>
      </c>
      <c r="E104" s="173">
        <f t="shared" si="5"/>
        <v>2653570.7283881931</v>
      </c>
      <c r="F104" s="173">
        <f t="shared" si="5"/>
        <v>2637344.7545823553</v>
      </c>
      <c r="G104" s="173">
        <f t="shared" si="5"/>
        <v>2621218.4390852489</v>
      </c>
      <c r="H104" s="173">
        <f t="shared" si="5"/>
        <v>2605191.1671015425</v>
      </c>
      <c r="I104" s="173">
        <f t="shared" si="5"/>
        <v>2589262.3276457367</v>
      </c>
      <c r="J104" s="173">
        <f t="shared" si="5"/>
        <v>2573431.3135179728</v>
      </c>
      <c r="K104" s="173">
        <f t="shared" si="5"/>
        <v>2557697.521280346</v>
      </c>
      <c r="L104" s="173">
        <f t="shared" si="5"/>
        <v>2542060.3512336188</v>
      </c>
    </row>
    <row r="105" spans="1:12">
      <c r="A105" s="164" t="s">
        <v>3916</v>
      </c>
      <c r="B105" s="94">
        <f>372-'اوراق بدون ریسک'!$AD$19</f>
        <v>235</v>
      </c>
      <c r="C105" s="165">
        <f t="shared" si="6"/>
        <v>2671794.7671836177</v>
      </c>
      <c r="D105" s="165">
        <f t="shared" si="6"/>
        <v>2654656.7168893362</v>
      </c>
      <c r="E105" s="165">
        <f t="shared" si="5"/>
        <v>2637629.0622578529</v>
      </c>
      <c r="F105" s="165">
        <f t="shared" si="5"/>
        <v>2620711.0891759079</v>
      </c>
      <c r="G105" s="165">
        <f t="shared" si="5"/>
        <v>2603902.0881692097</v>
      </c>
      <c r="H105" s="165">
        <f t="shared" si="5"/>
        <v>2587201.3543713395</v>
      </c>
      <c r="I105" s="165">
        <f t="shared" si="5"/>
        <v>2570608.1874947762</v>
      </c>
      <c r="J105" s="165">
        <f t="shared" si="5"/>
        <v>2554121.8918005219</v>
      </c>
      <c r="K105" s="165">
        <f t="shared" si="5"/>
        <v>2537741.7760683103</v>
      </c>
      <c r="L105" s="165">
        <f t="shared" si="5"/>
        <v>2521467.1535672606</v>
      </c>
    </row>
    <row r="106" spans="1:12">
      <c r="A106" s="158" t="s">
        <v>3917</v>
      </c>
      <c r="B106" s="159">
        <f>391-'اوراق بدون ریسک'!$AD$19</f>
        <v>254</v>
      </c>
      <c r="C106" s="160">
        <f t="shared" si="6"/>
        <v>2646883.448260407</v>
      </c>
      <c r="D106" s="160">
        <f t="shared" si="6"/>
        <v>2628537.2476372905</v>
      </c>
      <c r="E106" s="160">
        <f t="shared" si="5"/>
        <v>2610318.7061982853</v>
      </c>
      <c r="F106" s="160">
        <f t="shared" si="5"/>
        <v>2592226.9321876345</v>
      </c>
      <c r="G106" s="160">
        <f t="shared" si="5"/>
        <v>2574261.040103307</v>
      </c>
      <c r="H106" s="160">
        <f t="shared" si="5"/>
        <v>2556420.1506520798</v>
      </c>
      <c r="I106" s="160">
        <f t="shared" si="5"/>
        <v>2538703.3907069908</v>
      </c>
      <c r="J106" s="160">
        <f t="shared" si="5"/>
        <v>2521109.8932633856</v>
      </c>
      <c r="K106" s="160">
        <f t="shared" si="5"/>
        <v>2503638.7973956871</v>
      </c>
      <c r="L106" s="160">
        <f t="shared" si="5"/>
        <v>2486289.2482147473</v>
      </c>
    </row>
    <row r="107" spans="1:12">
      <c r="A107" s="164" t="s">
        <v>3918</v>
      </c>
      <c r="B107" s="94">
        <f>407-'اوراق بدون ریسک'!$AD$19</f>
        <v>270</v>
      </c>
      <c r="C107" s="165">
        <f t="shared" si="6"/>
        <v>2626085.7369954367</v>
      </c>
      <c r="D107" s="165">
        <f t="shared" si="6"/>
        <v>2606741.3379334956</v>
      </c>
      <c r="E107" s="165">
        <f t="shared" si="6"/>
        <v>2587539.9583716379</v>
      </c>
      <c r="F107" s="165">
        <f t="shared" si="6"/>
        <v>2568480.537046846</v>
      </c>
      <c r="G107" s="165">
        <f t="shared" si="6"/>
        <v>2549562.0206001159</v>
      </c>
      <c r="H107" s="165">
        <f t="shared" si="6"/>
        <v>2530783.3635164318</v>
      </c>
      <c r="I107" s="165">
        <f t="shared" si="6"/>
        <v>2512143.5280673583</v>
      </c>
      <c r="J107" s="165">
        <f t="shared" si="6"/>
        <v>2493641.4842522698</v>
      </c>
      <c r="K107" s="165">
        <f t="shared" si="6"/>
        <v>2475276.2097404487</v>
      </c>
      <c r="L107" s="165">
        <f t="shared" si="6"/>
        <v>2457046.6898139096</v>
      </c>
    </row>
    <row r="108" spans="1:12">
      <c r="A108" s="155" t="s">
        <v>3919</v>
      </c>
      <c r="B108" s="156">
        <f>573-'اوراق بدون ریسک'!$AD$19</f>
        <v>436</v>
      </c>
      <c r="C108" s="157">
        <f t="shared" si="6"/>
        <v>2419719.4161102986</v>
      </c>
      <c r="D108" s="157">
        <f t="shared" si="6"/>
        <v>2391001.7862838465</v>
      </c>
      <c r="E108" s="157">
        <f t="shared" si="6"/>
        <v>2362625.7544353469</v>
      </c>
      <c r="F108" s="157">
        <f t="shared" si="6"/>
        <v>2334587.2480485043</v>
      </c>
      <c r="G108" s="157">
        <f t="shared" si="6"/>
        <v>2306882.2432693001</v>
      </c>
      <c r="H108" s="157">
        <f t="shared" si="6"/>
        <v>2279506.7643218492</v>
      </c>
      <c r="I108" s="157">
        <f t="shared" si="6"/>
        <v>2252456.8829344343</v>
      </c>
      <c r="J108" s="157">
        <f t="shared" si="6"/>
        <v>2225728.7177697984</v>
      </c>
      <c r="K108" s="157">
        <f t="shared" si="6"/>
        <v>2199318.4338629073</v>
      </c>
      <c r="L108" s="157">
        <f t="shared" si="6"/>
        <v>2173222.2420658786</v>
      </c>
    </row>
    <row r="109" spans="1:12">
      <c r="A109" s="164" t="s">
        <v>3920</v>
      </c>
      <c r="B109" s="94">
        <f>579-'اوراق بدون ریسک'!$AD$19</f>
        <v>442</v>
      </c>
      <c r="C109" s="165">
        <f t="shared" si="6"/>
        <v>2412572.0400214372</v>
      </c>
      <c r="D109" s="165">
        <f t="shared" si="6"/>
        <v>2383547.586711538</v>
      </c>
      <c r="E109" s="165">
        <f t="shared" si="6"/>
        <v>2354873.0926142326</v>
      </c>
      <c r="F109" s="165">
        <f t="shared" si="6"/>
        <v>2326544.3287242549</v>
      </c>
      <c r="G109" s="165">
        <f t="shared" si="6"/>
        <v>2298557.1172549278</v>
      </c>
      <c r="H109" s="165">
        <f t="shared" si="6"/>
        <v>2270907.3310150779</v>
      </c>
      <c r="I109" s="165">
        <f t="shared" si="6"/>
        <v>2243590.8927967153</v>
      </c>
      <c r="J109" s="165">
        <f t="shared" si="6"/>
        <v>2216603.7747675357</v>
      </c>
      <c r="K109" s="165">
        <f t="shared" si="6"/>
        <v>2189941.9978714264</v>
      </c>
      <c r="L109" s="165">
        <f t="shared" si="6"/>
        <v>2163601.6312366948</v>
      </c>
    </row>
    <row r="110" spans="1:12">
      <c r="A110" s="158" t="s">
        <v>3921</v>
      </c>
      <c r="B110" s="159">
        <f>753-'اوراق بدون ریسک'!$AD$19</f>
        <v>616</v>
      </c>
      <c r="C110" s="160">
        <f t="shared" si="6"/>
        <v>2214233.6174576865</v>
      </c>
      <c r="D110" s="160">
        <f t="shared" si="6"/>
        <v>2177196.8141106768</v>
      </c>
      <c r="E110" s="160">
        <f t="shared" si="6"/>
        <v>2140780.5027742605</v>
      </c>
      <c r="F110" s="160">
        <f t="shared" si="6"/>
        <v>2104974.2715386851</v>
      </c>
      <c r="G110" s="160">
        <f t="shared" si="6"/>
        <v>2069767.8834853922</v>
      </c>
      <c r="H110" s="160">
        <f t="shared" si="6"/>
        <v>2035151.2737395603</v>
      </c>
      <c r="I110" s="160">
        <f t="shared" si="6"/>
        <v>2001114.5465763558</v>
      </c>
      <c r="J110" s="160">
        <f t="shared" si="6"/>
        <v>1967647.9725726412</v>
      </c>
      <c r="K110" s="160">
        <f t="shared" si="6"/>
        <v>1934741.9858075045</v>
      </c>
      <c r="L110" s="160">
        <f t="shared" si="6"/>
        <v>1902387.1811105181</v>
      </c>
    </row>
    <row r="111" spans="1:12">
      <c r="A111" s="171" t="s">
        <v>3922</v>
      </c>
      <c r="B111" s="172">
        <f>757-'اوراق بدون ریسک'!$AD$19</f>
        <v>620</v>
      </c>
      <c r="C111" s="173">
        <f t="shared" si="6"/>
        <v>2209871.193813853</v>
      </c>
      <c r="D111" s="173">
        <f t="shared" si="6"/>
        <v>2172669.3662164547</v>
      </c>
      <c r="E111" s="173">
        <f t="shared" si="6"/>
        <v>2136094.8016510913</v>
      </c>
      <c r="F111" s="173">
        <f t="shared" si="6"/>
        <v>2100136.9070417886</v>
      </c>
      <c r="G111" s="173">
        <f t="shared" si="6"/>
        <v>2064785.2684892758</v>
      </c>
      <c r="H111" s="173">
        <f t="shared" si="6"/>
        <v>2030029.6482337781</v>
      </c>
      <c r="I111" s="173">
        <f t="shared" si="6"/>
        <v>1995859.9816733547</v>
      </c>
      <c r="J111" s="173">
        <f t="shared" si="6"/>
        <v>1962266.3744295051</v>
      </c>
      <c r="K111" s="173">
        <f t="shared" si="6"/>
        <v>1929239.0994633557</v>
      </c>
      <c r="L111" s="173">
        <f t="shared" si="6"/>
        <v>1896768.5942413146</v>
      </c>
    </row>
    <row r="112" spans="1:12">
      <c r="A112" s="155" t="s">
        <v>3923</v>
      </c>
      <c r="B112" s="156">
        <f>774-'اوراق بدون ریسک'!$AD$19</f>
        <v>637</v>
      </c>
      <c r="C112" s="157">
        <f t="shared" si="6"/>
        <v>2191426.5738580902</v>
      </c>
      <c r="D112" s="157">
        <f t="shared" si="6"/>
        <v>2153532.5097368737</v>
      </c>
      <c r="E112" s="157">
        <f t="shared" si="6"/>
        <v>2116294.7191455765</v>
      </c>
      <c r="F112" s="157">
        <f t="shared" si="6"/>
        <v>2079701.8188161131</v>
      </c>
      <c r="G112" s="157">
        <f t="shared" si="6"/>
        <v>2043742.6232308375</v>
      </c>
      <c r="H112" s="157">
        <f t="shared" si="6"/>
        <v>2008406.1411801758</v>
      </c>
      <c r="I112" s="157">
        <f t="shared" si="6"/>
        <v>1973681.572384326</v>
      </c>
      <c r="J112" s="157">
        <f t="shared" si="6"/>
        <v>1939558.3041704311</v>
      </c>
      <c r="K112" s="157">
        <f t="shared" si="6"/>
        <v>1906025.9082084754</v>
      </c>
      <c r="L112" s="157">
        <f t="shared" si="6"/>
        <v>1873074.1373045854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4014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1" activePane="bottomLeft" state="frozen"/>
      <selection pane="bottomLeft" activeCell="D188" sqref="D188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608</v>
      </c>
      <c r="F2" s="11">
        <f>IF(B2&gt;0,1,0)</f>
        <v>1</v>
      </c>
      <c r="G2" s="11">
        <f>B2*(E2-F2)</f>
        <v>30350000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604</v>
      </c>
      <c r="F3" s="11">
        <f t="shared" ref="F3:F38" si="1">IF(B3&gt;0,1,0)</f>
        <v>1</v>
      </c>
      <c r="G3" s="11">
        <f t="shared" ref="G3:G23" si="2">B3*(E3-F3)</f>
        <v>1809000000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603</v>
      </c>
      <c r="F4" s="11">
        <f t="shared" si="1"/>
        <v>1</v>
      </c>
      <c r="G4" s="11">
        <f t="shared" si="2"/>
        <v>1806000000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603</v>
      </c>
      <c r="F5" s="11">
        <f t="shared" si="1"/>
        <v>1</v>
      </c>
      <c r="G5" s="11">
        <f t="shared" si="2"/>
        <v>9030000000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602</v>
      </c>
      <c r="F6" s="11">
        <f t="shared" si="1"/>
        <v>1</v>
      </c>
      <c r="G6" s="11">
        <f t="shared" si="2"/>
        <v>1803000000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601</v>
      </c>
      <c r="F7" s="11">
        <f t="shared" si="1"/>
        <v>0</v>
      </c>
      <c r="G7" s="11">
        <f t="shared" si="2"/>
        <v>-1803000000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601</v>
      </c>
      <c r="F8" s="11">
        <f t="shared" si="1"/>
        <v>0</v>
      </c>
      <c r="G8" s="11">
        <f t="shared" si="2"/>
        <v>-120200000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601</v>
      </c>
      <c r="F9" s="11">
        <f t="shared" si="1"/>
        <v>1</v>
      </c>
      <c r="G9" s="11">
        <f>B9*(E9-F9)</f>
        <v>1800000000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600</v>
      </c>
      <c r="F10" s="11">
        <f t="shared" si="1"/>
        <v>1</v>
      </c>
      <c r="G10" s="11">
        <f t="shared" si="2"/>
        <v>1797000000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600</v>
      </c>
      <c r="F11" s="11">
        <f t="shared" si="1"/>
        <v>1</v>
      </c>
      <c r="G11" s="11">
        <f t="shared" si="2"/>
        <v>14975000000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597</v>
      </c>
      <c r="F12" s="11">
        <f t="shared" si="1"/>
        <v>1</v>
      </c>
      <c r="G12" s="11">
        <f t="shared" si="2"/>
        <v>595004680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597</v>
      </c>
      <c r="F13" s="11">
        <f t="shared" si="1"/>
        <v>1</v>
      </c>
      <c r="G13" s="11">
        <f t="shared" si="2"/>
        <v>1788000000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597</v>
      </c>
      <c r="F14" s="11">
        <f t="shared" si="1"/>
        <v>1</v>
      </c>
      <c r="G14" s="11">
        <f t="shared" si="2"/>
        <v>709893216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585</v>
      </c>
      <c r="F15" s="11">
        <f t="shared" si="1"/>
        <v>1</v>
      </c>
      <c r="G15" s="11">
        <f t="shared" si="2"/>
        <v>1168000000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573</v>
      </c>
      <c r="F16" s="11">
        <f t="shared" si="1"/>
        <v>1</v>
      </c>
      <c r="G16" s="11">
        <f t="shared" si="2"/>
        <v>1716000000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572</v>
      </c>
      <c r="F17" s="11">
        <f t="shared" si="1"/>
        <v>1</v>
      </c>
      <c r="G17" s="11">
        <f t="shared" si="2"/>
        <v>1713000000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571</v>
      </c>
      <c r="F18" s="11">
        <f t="shared" si="1"/>
        <v>1</v>
      </c>
      <c r="G18" s="11">
        <f t="shared" si="2"/>
        <v>1083000000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556</v>
      </c>
      <c r="F19" s="11">
        <f t="shared" si="1"/>
        <v>1</v>
      </c>
      <c r="G19" s="11">
        <f t="shared" si="2"/>
        <v>446504715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555</v>
      </c>
      <c r="F20" s="11">
        <f t="shared" si="1"/>
        <v>1</v>
      </c>
      <c r="G20" s="11">
        <f t="shared" si="2"/>
        <v>1662000000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549</v>
      </c>
      <c r="F21" s="11">
        <f t="shared" si="1"/>
        <v>1</v>
      </c>
      <c r="G21" s="11">
        <f t="shared" si="2"/>
        <v>274000000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535</v>
      </c>
      <c r="F22" s="11">
        <f t="shared" si="1"/>
        <v>0</v>
      </c>
      <c r="G22" s="11">
        <f t="shared" si="2"/>
        <v>-1605000000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527</v>
      </c>
      <c r="F23" s="11">
        <f t="shared" si="1"/>
        <v>1</v>
      </c>
      <c r="G23" s="11">
        <f t="shared" si="2"/>
        <v>1578000000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527</v>
      </c>
      <c r="F24" s="11">
        <f t="shared" si="1"/>
        <v>1</v>
      </c>
      <c r="G24" s="11">
        <f>B24*(E24-F24)</f>
        <v>331823418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525</v>
      </c>
      <c r="F25" s="11">
        <f t="shared" si="1"/>
        <v>0</v>
      </c>
      <c r="G25" s="11">
        <f t="shared" ref="G25:G30" si="3">B25*(E25-F25)</f>
        <v>-1680472500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523</v>
      </c>
      <c r="F26" s="11">
        <f t="shared" si="1"/>
        <v>0</v>
      </c>
      <c r="G26" s="11">
        <f t="shared" si="3"/>
        <v>-1569470700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521</v>
      </c>
      <c r="F27" s="11">
        <f t="shared" si="1"/>
        <v>1</v>
      </c>
      <c r="G27" s="11">
        <f t="shared" si="3"/>
        <v>520000000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521</v>
      </c>
      <c r="F28" s="11">
        <f t="shared" si="1"/>
        <v>1</v>
      </c>
      <c r="G28" s="11">
        <f t="shared" si="3"/>
        <v>3120000000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521</v>
      </c>
      <c r="F29" s="11">
        <f t="shared" si="1"/>
        <v>1</v>
      </c>
      <c r="G29" s="11">
        <f t="shared" si="3"/>
        <v>3016000000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521</v>
      </c>
      <c r="F30" s="11">
        <f t="shared" si="1"/>
        <v>0</v>
      </c>
      <c r="G30" s="11">
        <f t="shared" si="3"/>
        <v>-2605000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520</v>
      </c>
      <c r="F31" s="11">
        <f t="shared" si="1"/>
        <v>0</v>
      </c>
      <c r="G31" s="11">
        <f>B31*(E31-F31)</f>
        <v>-13520000000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518</v>
      </c>
      <c r="F32" s="11">
        <f t="shared" si="1"/>
        <v>0</v>
      </c>
      <c r="G32" s="11">
        <f>B32*(E32-F32)</f>
        <v>-13571600000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499</v>
      </c>
      <c r="F33" s="11">
        <f t="shared" si="1"/>
        <v>1</v>
      </c>
      <c r="G33" s="11">
        <f>B33*(E33-F33)</f>
        <v>162848490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481</v>
      </c>
      <c r="F34" s="11">
        <f t="shared" si="1"/>
        <v>1</v>
      </c>
      <c r="G34" s="11">
        <f t="shared" ref="G34:G195" si="4">B34*(E34-F34)</f>
        <v>13632000000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481</v>
      </c>
      <c r="F35" s="11">
        <f t="shared" si="1"/>
        <v>1</v>
      </c>
      <c r="G35" s="12">
        <f t="shared" si="4"/>
        <v>5280000000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466</v>
      </c>
      <c r="F36" s="11">
        <f t="shared" si="1"/>
        <v>1</v>
      </c>
      <c r="G36" s="11">
        <f t="shared" si="4"/>
        <v>194695965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466</v>
      </c>
      <c r="F37" s="11">
        <f t="shared" si="1"/>
        <v>0</v>
      </c>
      <c r="G37" s="11">
        <f t="shared" si="4"/>
        <v>-419400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465</v>
      </c>
      <c r="F38" s="11">
        <f t="shared" si="1"/>
        <v>1</v>
      </c>
      <c r="G38" s="12">
        <f t="shared" si="4"/>
        <v>928000000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465</v>
      </c>
      <c r="F39" s="11">
        <f>IF(B39&gt;0,1,0)</f>
        <v>1</v>
      </c>
      <c r="G39" s="11">
        <f t="shared" si="4"/>
        <v>928000000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451</v>
      </c>
      <c r="F40" s="11">
        <f>IF(B40&gt;0,1,0)</f>
        <v>0</v>
      </c>
      <c r="G40" s="11">
        <f t="shared" si="4"/>
        <v>-90200000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451</v>
      </c>
      <c r="F41" s="11">
        <f>IF(B41&gt;0,1,0)</f>
        <v>0</v>
      </c>
      <c r="G41" s="11">
        <f t="shared" si="4"/>
        <v>-279620000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451</v>
      </c>
      <c r="F42" s="11">
        <f t="shared" ref="F42:F195" si="5">IF(B42&gt;0,1,0)</f>
        <v>0</v>
      </c>
      <c r="G42" s="11">
        <f t="shared" si="4"/>
        <v>-54120000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449</v>
      </c>
      <c r="F43" s="11">
        <f t="shared" si="5"/>
        <v>1</v>
      </c>
      <c r="G43" s="11">
        <f t="shared" si="4"/>
        <v>291200000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449</v>
      </c>
      <c r="F44" s="11">
        <f t="shared" si="5"/>
        <v>0</v>
      </c>
      <c r="G44" s="11">
        <f t="shared" si="4"/>
        <v>-2245000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449</v>
      </c>
      <c r="F45" s="11">
        <f t="shared" si="5"/>
        <v>1</v>
      </c>
      <c r="G45" s="11">
        <f t="shared" si="4"/>
        <v>12992000000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445</v>
      </c>
      <c r="F46" s="11">
        <f t="shared" si="5"/>
        <v>0</v>
      </c>
      <c r="G46" s="11">
        <f t="shared" si="4"/>
        <v>-89000000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442</v>
      </c>
      <c r="F47" s="11">
        <f t="shared" si="5"/>
        <v>0</v>
      </c>
      <c r="G47" s="11">
        <f t="shared" si="4"/>
        <v>-88400000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441</v>
      </c>
      <c r="F48" s="11">
        <f t="shared" si="5"/>
        <v>0</v>
      </c>
      <c r="G48" s="11">
        <f t="shared" si="4"/>
        <v>-88200000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436</v>
      </c>
      <c r="F49" s="11">
        <f t="shared" si="5"/>
        <v>1</v>
      </c>
      <c r="G49" s="11">
        <f t="shared" si="4"/>
        <v>1305000000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436</v>
      </c>
      <c r="F50" s="11">
        <f t="shared" si="5"/>
        <v>1</v>
      </c>
      <c r="G50" s="12">
        <f t="shared" si="4"/>
        <v>1305000000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435</v>
      </c>
      <c r="F51" s="11">
        <f t="shared" si="5"/>
        <v>1</v>
      </c>
      <c r="G51" s="11">
        <f t="shared" si="4"/>
        <v>332355898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435</v>
      </c>
      <c r="F52" s="11">
        <f t="shared" si="5"/>
        <v>0</v>
      </c>
      <c r="G52" s="11">
        <f t="shared" si="4"/>
        <v>-87000000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428</v>
      </c>
      <c r="F53" s="11">
        <f t="shared" si="5"/>
        <v>0</v>
      </c>
      <c r="G53" s="11">
        <f t="shared" si="4"/>
        <v>-171414000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419</v>
      </c>
      <c r="F54" s="11">
        <f t="shared" si="5"/>
        <v>0</v>
      </c>
      <c r="G54" s="11">
        <f t="shared" si="4"/>
        <v>-419165924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413</v>
      </c>
      <c r="F55" s="11">
        <f t="shared" si="5"/>
        <v>0</v>
      </c>
      <c r="G55" s="11">
        <f t="shared" si="4"/>
        <v>-16520000000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404</v>
      </c>
      <c r="F56" s="11">
        <f t="shared" si="5"/>
        <v>1</v>
      </c>
      <c r="G56" s="11">
        <f t="shared" si="4"/>
        <v>348857756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377</v>
      </c>
      <c r="F57" s="11">
        <f t="shared" si="5"/>
        <v>0</v>
      </c>
      <c r="G57" s="11">
        <f t="shared" si="4"/>
        <v>-18925400000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376</v>
      </c>
      <c r="F58" s="11">
        <f t="shared" si="5"/>
        <v>0</v>
      </c>
      <c r="G58" s="11">
        <f t="shared" si="4"/>
        <v>-4587388000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373</v>
      </c>
      <c r="F59" s="11">
        <f t="shared" si="5"/>
        <v>1</v>
      </c>
      <c r="G59" s="11">
        <f t="shared" si="4"/>
        <v>198985032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372</v>
      </c>
      <c r="F60" s="11">
        <f t="shared" si="5"/>
        <v>0</v>
      </c>
      <c r="G60" s="11">
        <f t="shared" si="4"/>
        <v>-125736000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370</v>
      </c>
      <c r="F61" s="11">
        <f t="shared" si="5"/>
        <v>0</v>
      </c>
      <c r="G61" s="11">
        <f t="shared" si="4"/>
        <v>-55500000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366</v>
      </c>
      <c r="F62" s="11">
        <f t="shared" si="5"/>
        <v>0</v>
      </c>
      <c r="G62" s="11">
        <f t="shared" si="4"/>
        <v>-36600000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362</v>
      </c>
      <c r="F63" s="11">
        <f t="shared" si="5"/>
        <v>0</v>
      </c>
      <c r="G63" s="11">
        <f t="shared" si="4"/>
        <v>-72400000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362</v>
      </c>
      <c r="F64" s="11">
        <f t="shared" si="5"/>
        <v>0</v>
      </c>
      <c r="G64" s="11">
        <f t="shared" si="4"/>
        <v>-31494000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358</v>
      </c>
      <c r="F65" s="11">
        <f t="shared" si="5"/>
        <v>0</v>
      </c>
      <c r="G65" s="11">
        <f t="shared" si="4"/>
        <v>-9834260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357</v>
      </c>
      <c r="F66" s="11">
        <f t="shared" si="5"/>
        <v>0</v>
      </c>
      <c r="G66" s="11">
        <f t="shared" si="4"/>
        <v>-119238000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352</v>
      </c>
      <c r="F67" s="11">
        <f t="shared" si="5"/>
        <v>0</v>
      </c>
      <c r="G67" s="11">
        <f t="shared" si="4"/>
        <v>-7040000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351</v>
      </c>
      <c r="F68" s="11">
        <f t="shared" si="5"/>
        <v>0</v>
      </c>
      <c r="G68" s="11">
        <f t="shared" si="4"/>
        <v>-105475500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351</v>
      </c>
      <c r="F69" s="11">
        <f t="shared" si="5"/>
        <v>0</v>
      </c>
      <c r="G69" s="11">
        <f t="shared" si="4"/>
        <v>-35100000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346</v>
      </c>
      <c r="F70" s="11">
        <f t="shared" si="5"/>
        <v>0</v>
      </c>
      <c r="G70" s="11">
        <f t="shared" si="4"/>
        <v>-69200000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342</v>
      </c>
      <c r="F71" s="11">
        <f t="shared" si="5"/>
        <v>1</v>
      </c>
      <c r="G71" s="11">
        <f t="shared" si="4"/>
        <v>5247649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342</v>
      </c>
      <c r="F72" s="11">
        <f t="shared" si="5"/>
        <v>1</v>
      </c>
      <c r="G72" s="11">
        <f t="shared" si="4"/>
        <v>1364000000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342</v>
      </c>
      <c r="F73" s="11">
        <f t="shared" si="5"/>
        <v>1</v>
      </c>
      <c r="G73" s="11">
        <f t="shared" si="4"/>
        <v>886600000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342</v>
      </c>
      <c r="F74" s="11">
        <f t="shared" si="5"/>
        <v>1</v>
      </c>
      <c r="G74" s="11">
        <f t="shared" si="4"/>
        <v>1023000000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339</v>
      </c>
      <c r="F75" s="11">
        <f t="shared" si="5"/>
        <v>0</v>
      </c>
      <c r="G75" s="11">
        <f t="shared" si="4"/>
        <v>-67800000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336</v>
      </c>
      <c r="F76" s="11">
        <f t="shared" si="5"/>
        <v>0</v>
      </c>
      <c r="G76" s="11">
        <f t="shared" si="4"/>
        <v>-672235200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336</v>
      </c>
      <c r="F77" s="11">
        <f t="shared" si="5"/>
        <v>0</v>
      </c>
      <c r="G77" s="11">
        <f t="shared" si="4"/>
        <v>-67200000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332</v>
      </c>
      <c r="F78" s="11">
        <f t="shared" si="5"/>
        <v>1</v>
      </c>
      <c r="G78" s="11">
        <f t="shared" si="4"/>
        <v>662000000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324</v>
      </c>
      <c r="F79" s="11">
        <f t="shared" si="5"/>
        <v>0</v>
      </c>
      <c r="G79" s="11">
        <f t="shared" si="4"/>
        <v>-324162000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324</v>
      </c>
      <c r="F80" s="11">
        <f t="shared" si="5"/>
        <v>0</v>
      </c>
      <c r="G80" s="11">
        <f t="shared" si="4"/>
        <v>-45991800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321</v>
      </c>
      <c r="F81" s="11">
        <f t="shared" si="5"/>
        <v>0</v>
      </c>
      <c r="G81" s="11">
        <f t="shared" si="4"/>
        <v>-289060500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311</v>
      </c>
      <c r="F82" s="11">
        <f t="shared" si="5"/>
        <v>1</v>
      </c>
      <c r="G82" s="11">
        <f t="shared" si="4"/>
        <v>25187810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289</v>
      </c>
      <c r="F83" s="11">
        <f t="shared" si="5"/>
        <v>1</v>
      </c>
      <c r="G83" s="11">
        <f t="shared" si="4"/>
        <v>14400000000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288</v>
      </c>
      <c r="F84" s="11">
        <f t="shared" si="5"/>
        <v>1</v>
      </c>
      <c r="G84" s="11">
        <f t="shared" si="4"/>
        <v>8610000000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288</v>
      </c>
      <c r="F85" s="11">
        <f t="shared" si="5"/>
        <v>0</v>
      </c>
      <c r="G85" s="11">
        <f t="shared" si="4"/>
        <v>-20880000000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287</v>
      </c>
      <c r="F86" s="11">
        <f t="shared" si="5"/>
        <v>0</v>
      </c>
      <c r="G86" s="11">
        <f t="shared" si="4"/>
        <v>-80647000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282</v>
      </c>
      <c r="F87" s="11">
        <f t="shared" si="5"/>
        <v>1</v>
      </c>
      <c r="G87" s="11">
        <f t="shared" si="4"/>
        <v>702500000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281</v>
      </c>
      <c r="F88" s="11">
        <f t="shared" si="5"/>
        <v>1</v>
      </c>
      <c r="G88" s="11">
        <f t="shared" si="4"/>
        <v>21935200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276</v>
      </c>
      <c r="F89" s="11">
        <f t="shared" si="5"/>
        <v>1</v>
      </c>
      <c r="G89" s="11">
        <f t="shared" si="4"/>
        <v>4125000000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251</v>
      </c>
      <c r="F90" s="11">
        <f t="shared" si="5"/>
        <v>1</v>
      </c>
      <c r="G90" s="11">
        <f t="shared" si="4"/>
        <v>61211500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222</v>
      </c>
      <c r="F91" s="11">
        <f t="shared" si="5"/>
        <v>1</v>
      </c>
      <c r="G91" s="11">
        <f t="shared" si="4"/>
        <v>60146255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192</v>
      </c>
      <c r="F92" s="11">
        <f t="shared" si="5"/>
        <v>1</v>
      </c>
      <c r="G92" s="11">
        <f t="shared" si="4"/>
        <v>573000000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192</v>
      </c>
      <c r="F93" s="11">
        <f t="shared" si="5"/>
        <v>1</v>
      </c>
      <c r="G93" s="11">
        <f t="shared" si="4"/>
        <v>52407535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191</v>
      </c>
      <c r="F94" s="11">
        <f t="shared" si="5"/>
        <v>1</v>
      </c>
      <c r="G94" s="11">
        <f t="shared" si="4"/>
        <v>1045000000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190</v>
      </c>
      <c r="F95" s="11">
        <f t="shared" si="5"/>
        <v>1</v>
      </c>
      <c r="G95" s="11">
        <f t="shared" si="4"/>
        <v>567000000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189</v>
      </c>
      <c r="F96" s="11">
        <f t="shared" si="5"/>
        <v>1</v>
      </c>
      <c r="G96" s="11">
        <f t="shared" si="4"/>
        <v>564000000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188</v>
      </c>
      <c r="F97" s="11">
        <f t="shared" si="5"/>
        <v>1</v>
      </c>
      <c r="G97" s="11">
        <f t="shared" si="4"/>
        <v>561000000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187</v>
      </c>
      <c r="F98" s="11">
        <f t="shared" si="5"/>
        <v>1</v>
      </c>
      <c r="G98" s="11">
        <f t="shared" si="4"/>
        <v>558000000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186</v>
      </c>
      <c r="F99" s="11">
        <f t="shared" si="5"/>
        <v>1</v>
      </c>
      <c r="G99" s="11">
        <f t="shared" si="4"/>
        <v>555000000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184</v>
      </c>
      <c r="F100" s="11">
        <f t="shared" si="5"/>
        <v>1</v>
      </c>
      <c r="G100" s="11">
        <f t="shared" si="4"/>
        <v>182908500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183</v>
      </c>
      <c r="F101" s="11">
        <f t="shared" si="5"/>
        <v>0</v>
      </c>
      <c r="G101" s="11">
        <f t="shared" si="4"/>
        <v>-363566100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162</v>
      </c>
      <c r="F102" s="11">
        <f t="shared" si="5"/>
        <v>1</v>
      </c>
      <c r="G102" s="11">
        <f t="shared" si="4"/>
        <v>483000000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162</v>
      </c>
      <c r="F103" s="11">
        <f t="shared" si="5"/>
        <v>1</v>
      </c>
      <c r="G103" s="11">
        <f t="shared" si="4"/>
        <v>47575500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4022</v>
      </c>
      <c r="B105" s="38">
        <f>SUM(B2:B103)</f>
        <v>59475793</v>
      </c>
      <c r="C105" s="73" t="s">
        <v>4021</v>
      </c>
      <c r="D105" s="105">
        <v>1</v>
      </c>
      <c r="E105" s="105">
        <f>D105+E106</f>
        <v>148</v>
      </c>
      <c r="F105" s="105">
        <f t="shared" si="5"/>
        <v>1</v>
      </c>
      <c r="G105" s="105">
        <f t="shared" si="4"/>
        <v>8742941571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147</v>
      </c>
      <c r="F106" s="11">
        <f t="shared" si="5"/>
        <v>0</v>
      </c>
      <c r="G106" s="11">
        <f t="shared" si="4"/>
        <v>-1470000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141</v>
      </c>
      <c r="F107" s="11">
        <f t="shared" si="5"/>
        <v>1</v>
      </c>
      <c r="G107" s="11">
        <f t="shared" si="4"/>
        <v>279860000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136</v>
      </c>
      <c r="F108" s="11">
        <f t="shared" si="5"/>
        <v>0</v>
      </c>
      <c r="G108" s="11">
        <f t="shared" si="4"/>
        <v>-8160000000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136</v>
      </c>
      <c r="F109" s="11">
        <f t="shared" si="5"/>
        <v>1</v>
      </c>
      <c r="G109" s="11">
        <f t="shared" si="4"/>
        <v>789750000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135</v>
      </c>
      <c r="F110" s="11">
        <f t="shared" si="5"/>
        <v>1</v>
      </c>
      <c r="G110" s="11">
        <f t="shared" si="4"/>
        <v>402000000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134</v>
      </c>
      <c r="F111" s="11">
        <f t="shared" si="5"/>
        <v>1</v>
      </c>
      <c r="G111" s="11">
        <f t="shared" si="4"/>
        <v>266000000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134</v>
      </c>
      <c r="F112" s="11">
        <f t="shared" si="5"/>
        <v>0</v>
      </c>
      <c r="G112" s="11">
        <f t="shared" si="4"/>
        <v>-670000000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133</v>
      </c>
      <c r="F113" s="11">
        <f t="shared" si="5"/>
        <v>1</v>
      </c>
      <c r="G113" s="11">
        <f t="shared" si="4"/>
        <v>54472176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125</v>
      </c>
      <c r="F114" s="11">
        <f t="shared" si="5"/>
        <v>1</v>
      </c>
      <c r="G114" s="11">
        <f t="shared" si="4"/>
        <v>5208000000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118</v>
      </c>
      <c r="F115" s="11">
        <f t="shared" si="5"/>
        <v>0</v>
      </c>
      <c r="G115" s="11">
        <f t="shared" si="4"/>
        <v>-2950000000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117</v>
      </c>
      <c r="F116" s="11">
        <f t="shared" si="5"/>
        <v>0</v>
      </c>
      <c r="G116" s="11">
        <f t="shared" si="4"/>
        <v>-23400000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115</v>
      </c>
      <c r="F117" s="11">
        <f t="shared" si="5"/>
        <v>0</v>
      </c>
      <c r="G117" s="11">
        <f t="shared" si="4"/>
        <v>-2070000000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114</v>
      </c>
      <c r="F118" s="11">
        <f t="shared" si="5"/>
        <v>0</v>
      </c>
      <c r="G118" s="11">
        <f t="shared" si="4"/>
        <v>-285000000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104</v>
      </c>
      <c r="F119" s="11">
        <f t="shared" si="5"/>
        <v>1</v>
      </c>
      <c r="G119" s="11">
        <f t="shared" si="4"/>
        <v>61285000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102</v>
      </c>
      <c r="F120" s="11">
        <f t="shared" si="5"/>
        <v>1</v>
      </c>
      <c r="G120" s="11">
        <f t="shared" si="4"/>
        <v>13870734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100</v>
      </c>
      <c r="F121" s="11">
        <f t="shared" si="5"/>
        <v>0</v>
      </c>
      <c r="G121" s="11">
        <f t="shared" si="4"/>
        <v>-320090000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99</v>
      </c>
      <c r="F122" s="11">
        <f t="shared" si="5"/>
        <v>1</v>
      </c>
      <c r="G122" s="11">
        <f t="shared" si="4"/>
        <v>1595048000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96</v>
      </c>
      <c r="F123" s="11">
        <f t="shared" si="5"/>
        <v>1</v>
      </c>
      <c r="G123" s="105">
        <f t="shared" si="4"/>
        <v>285000000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96</v>
      </c>
      <c r="F124" s="105">
        <f t="shared" si="5"/>
        <v>1</v>
      </c>
      <c r="G124" s="105">
        <f t="shared" si="4"/>
        <v>191900000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96</v>
      </c>
      <c r="F125" s="105">
        <f t="shared" si="5"/>
        <v>1</v>
      </c>
      <c r="G125" s="105">
        <f t="shared" si="4"/>
        <v>472625000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95</v>
      </c>
      <c r="F126" s="105">
        <f t="shared" si="5"/>
        <v>0</v>
      </c>
      <c r="G126" s="105">
        <f t="shared" si="4"/>
        <v>-1757500000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95</v>
      </c>
      <c r="F127" s="105">
        <f t="shared" si="5"/>
        <v>1</v>
      </c>
      <c r="G127" s="105">
        <f t="shared" si="4"/>
        <v>282000000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95</v>
      </c>
      <c r="F128" s="105">
        <f t="shared" si="5"/>
        <v>0</v>
      </c>
      <c r="G128" s="105">
        <f t="shared" si="4"/>
        <v>-285085500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94</v>
      </c>
      <c r="F129" s="105">
        <f t="shared" si="5"/>
        <v>1</v>
      </c>
      <c r="G129" s="105">
        <f t="shared" si="4"/>
        <v>83700000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94</v>
      </c>
      <c r="F130" s="105">
        <f t="shared" si="5"/>
        <v>0</v>
      </c>
      <c r="G130" s="105">
        <f t="shared" si="4"/>
        <v>-282084600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93</v>
      </c>
      <c r="F131" s="105">
        <f t="shared" si="5"/>
        <v>0</v>
      </c>
      <c r="G131" s="105">
        <f t="shared" si="4"/>
        <v>-279083700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91</v>
      </c>
      <c r="F132" s="105">
        <f t="shared" si="5"/>
        <v>0</v>
      </c>
      <c r="G132" s="105">
        <f t="shared" si="4"/>
        <v>-91045500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91</v>
      </c>
      <c r="F133" s="105">
        <f t="shared" si="5"/>
        <v>1</v>
      </c>
      <c r="G133" s="105">
        <f t="shared" si="4"/>
        <v>9000000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89</v>
      </c>
      <c r="F134" s="105">
        <f t="shared" si="5"/>
        <v>0</v>
      </c>
      <c r="G134" s="105">
        <f t="shared" si="4"/>
        <v>-17800000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88</v>
      </c>
      <c r="F135" s="105">
        <f t="shared" si="5"/>
        <v>0</v>
      </c>
      <c r="G135" s="105">
        <f t="shared" si="4"/>
        <v>-193600000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85</v>
      </c>
      <c r="F136" s="105">
        <f t="shared" si="5"/>
        <v>0</v>
      </c>
      <c r="G136" s="105">
        <f t="shared" si="4"/>
        <v>-76967500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82</v>
      </c>
      <c r="F137" s="105">
        <f t="shared" si="5"/>
        <v>1</v>
      </c>
      <c r="G137" s="105">
        <f t="shared" si="4"/>
        <v>121500000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81</v>
      </c>
      <c r="F138" s="105">
        <f t="shared" si="5"/>
        <v>0</v>
      </c>
      <c r="G138" s="105">
        <f t="shared" si="4"/>
        <v>-81040500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81</v>
      </c>
      <c r="F139" s="105">
        <f t="shared" si="5"/>
        <v>0</v>
      </c>
      <c r="G139" s="105">
        <f t="shared" si="4"/>
        <v>-29565000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79</v>
      </c>
      <c r="F140" s="105">
        <f t="shared" si="5"/>
        <v>1</v>
      </c>
      <c r="G140" s="105">
        <f t="shared" si="4"/>
        <v>1794000000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78</v>
      </c>
      <c r="F141" s="105">
        <f t="shared" si="5"/>
        <v>1</v>
      </c>
      <c r="G141" s="105">
        <f t="shared" si="4"/>
        <v>138600000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76</v>
      </c>
      <c r="F142" s="105">
        <f t="shared" si="5"/>
        <v>1</v>
      </c>
      <c r="G142" s="105">
        <f t="shared" si="4"/>
        <v>15000000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76</v>
      </c>
      <c r="F143" s="105">
        <f t="shared" si="5"/>
        <v>0</v>
      </c>
      <c r="G143" s="105">
        <f t="shared" si="4"/>
        <v>-243268400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75</v>
      </c>
      <c r="F144" s="105">
        <f t="shared" si="5"/>
        <v>0</v>
      </c>
      <c r="G144" s="105">
        <f t="shared" si="4"/>
        <v>-226567500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74</v>
      </c>
      <c r="F145" s="105">
        <f t="shared" si="5"/>
        <v>1</v>
      </c>
      <c r="G145" s="105">
        <f t="shared" si="4"/>
        <v>5294909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71</v>
      </c>
      <c r="F146" s="105">
        <f t="shared" si="5"/>
        <v>0</v>
      </c>
      <c r="G146" s="105">
        <f t="shared" si="4"/>
        <v>-213063900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70</v>
      </c>
      <c r="F147" s="105">
        <f t="shared" si="5"/>
        <v>0</v>
      </c>
      <c r="G147" s="105">
        <f t="shared" si="4"/>
        <v>-210098000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70</v>
      </c>
      <c r="F148" s="105">
        <f t="shared" si="5"/>
        <v>0</v>
      </c>
      <c r="G148" s="105">
        <f t="shared" si="4"/>
        <v>-15183700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69</v>
      </c>
      <c r="F149" s="105">
        <f t="shared" si="5"/>
        <v>0</v>
      </c>
      <c r="G149" s="105">
        <f t="shared" si="4"/>
        <v>-207062100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68</v>
      </c>
      <c r="F150" s="105">
        <f t="shared" si="5"/>
        <v>1</v>
      </c>
      <c r="G150" s="105">
        <f t="shared" si="4"/>
        <v>395300000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55</v>
      </c>
      <c r="F151" s="105">
        <f t="shared" si="5"/>
        <v>1</v>
      </c>
      <c r="G151" s="105">
        <f t="shared" si="4"/>
        <v>918000000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55</v>
      </c>
      <c r="F152" s="105">
        <f t="shared" si="5"/>
        <v>0</v>
      </c>
      <c r="G152" s="105">
        <f t="shared" si="4"/>
        <v>-55000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54</v>
      </c>
      <c r="F153" s="105">
        <f t="shared" si="5"/>
        <v>1</v>
      </c>
      <c r="G153" s="105">
        <f t="shared" si="4"/>
        <v>159000000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54</v>
      </c>
      <c r="F154" s="105">
        <f t="shared" si="5"/>
        <v>0</v>
      </c>
      <c r="G154" s="105">
        <f t="shared" si="4"/>
        <v>-972594000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54</v>
      </c>
      <c r="F155" s="105">
        <f t="shared" si="5"/>
        <v>0</v>
      </c>
      <c r="G155" s="105">
        <f t="shared" si="4"/>
        <v>-842400000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54</v>
      </c>
      <c r="F156" s="105">
        <f t="shared" si="5"/>
        <v>0</v>
      </c>
      <c r="G156" s="105">
        <f t="shared" si="4"/>
        <v>-75627000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54</v>
      </c>
      <c r="F157" s="105">
        <f t="shared" si="5"/>
        <v>0</v>
      </c>
      <c r="G157" s="105">
        <f t="shared" si="4"/>
        <v>-270000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49</v>
      </c>
      <c r="F158" s="105">
        <f t="shared" si="5"/>
        <v>1</v>
      </c>
      <c r="G158" s="105">
        <f t="shared" si="4"/>
        <v>144000000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48</v>
      </c>
      <c r="F159" s="105">
        <f t="shared" si="5"/>
        <v>1</v>
      </c>
      <c r="G159" s="105">
        <f t="shared" si="4"/>
        <v>47000000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47</v>
      </c>
      <c r="F160" s="105">
        <f t="shared" si="5"/>
        <v>0</v>
      </c>
      <c r="G160" s="105">
        <f t="shared" si="4"/>
        <v>-211500000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47</v>
      </c>
      <c r="F161" s="105">
        <f t="shared" si="5"/>
        <v>1</v>
      </c>
      <c r="G161" s="105">
        <f t="shared" si="4"/>
        <v>138000000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47</v>
      </c>
      <c r="F162" s="105">
        <f t="shared" si="5"/>
        <v>0</v>
      </c>
      <c r="G162" s="105">
        <f t="shared" si="4"/>
        <v>-141000000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46</v>
      </c>
      <c r="F163" s="105">
        <f t="shared" si="5"/>
        <v>1</v>
      </c>
      <c r="G163" s="105">
        <f t="shared" si="4"/>
        <v>4192425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40</v>
      </c>
      <c r="F164" s="105">
        <f t="shared" si="5"/>
        <v>1</v>
      </c>
      <c r="G164" s="105">
        <f t="shared" si="4"/>
        <v>45240000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39</v>
      </c>
      <c r="F165" s="105">
        <f t="shared" si="5"/>
        <v>0</v>
      </c>
      <c r="G165" s="105">
        <f t="shared" si="4"/>
        <v>-20527650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36</v>
      </c>
      <c r="F166" s="105">
        <f t="shared" si="5"/>
        <v>0</v>
      </c>
      <c r="G166" s="105">
        <f t="shared" si="4"/>
        <v>-7200000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34</v>
      </c>
      <c r="F167" s="105">
        <f t="shared" si="5"/>
        <v>1</v>
      </c>
      <c r="G167" s="105">
        <f t="shared" si="4"/>
        <v>25905000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34</v>
      </c>
      <c r="F168" s="105">
        <f t="shared" si="5"/>
        <v>0</v>
      </c>
      <c r="G168" s="105">
        <f t="shared" si="4"/>
        <v>-6800000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33</v>
      </c>
      <c r="F169" s="105">
        <f t="shared" si="5"/>
        <v>0</v>
      </c>
      <c r="G169" s="105">
        <f t="shared" si="4"/>
        <v>-14850000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33</v>
      </c>
      <c r="F170" s="105">
        <f t="shared" si="5"/>
        <v>1</v>
      </c>
      <c r="G170" s="105">
        <f t="shared" si="4"/>
        <v>96000000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33</v>
      </c>
      <c r="F171" s="105">
        <f t="shared" si="5"/>
        <v>0</v>
      </c>
      <c r="G171" s="105">
        <f t="shared" si="4"/>
        <v>-1155000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32</v>
      </c>
      <c r="F172" s="105">
        <f t="shared" si="5"/>
        <v>1</v>
      </c>
      <c r="G172" s="105">
        <f t="shared" si="4"/>
        <v>77500000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31</v>
      </c>
      <c r="F173" s="105">
        <f t="shared" si="5"/>
        <v>0</v>
      </c>
      <c r="G173" s="105">
        <f t="shared" si="4"/>
        <v>-4049840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26</v>
      </c>
      <c r="F174" s="105">
        <f t="shared" si="5"/>
        <v>0</v>
      </c>
      <c r="G174" s="105">
        <f t="shared" si="4"/>
        <v>-124800000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26</v>
      </c>
      <c r="F175" s="105">
        <f t="shared" si="5"/>
        <v>0</v>
      </c>
      <c r="G175" s="105">
        <f t="shared" si="4"/>
        <v>-8320000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26</v>
      </c>
      <c r="F176" s="105">
        <f t="shared" si="5"/>
        <v>0</v>
      </c>
      <c r="G176" s="105">
        <f t="shared" si="4"/>
        <v>-12829362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16</v>
      </c>
      <c r="F177" s="105">
        <f t="shared" si="5"/>
        <v>0</v>
      </c>
      <c r="G177" s="105">
        <f t="shared" si="4"/>
        <v>-1280000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16</v>
      </c>
      <c r="F178" s="105">
        <f t="shared" si="5"/>
        <v>0</v>
      </c>
      <c r="G178" s="105">
        <f t="shared" si="4"/>
        <v>-1600000</v>
      </c>
    </row>
    <row r="179" spans="1:7">
      <c r="A179" s="105" t="s">
        <v>4015</v>
      </c>
      <c r="B179" s="38">
        <v>14371</v>
      </c>
      <c r="C179" s="73" t="s">
        <v>669</v>
      </c>
      <c r="D179" s="105">
        <v>2</v>
      </c>
      <c r="E179" s="105">
        <f t="shared" si="8"/>
        <v>15</v>
      </c>
      <c r="F179" s="105">
        <f t="shared" si="5"/>
        <v>1</v>
      </c>
      <c r="G179" s="105">
        <f t="shared" si="4"/>
        <v>201194</v>
      </c>
    </row>
    <row r="180" spans="1:7">
      <c r="A180" s="105" t="s">
        <v>4019</v>
      </c>
      <c r="B180" s="38">
        <v>-39030</v>
      </c>
      <c r="C180" s="73" t="s">
        <v>4020</v>
      </c>
      <c r="D180" s="105">
        <v>2</v>
      </c>
      <c r="E180" s="105">
        <f t="shared" si="8"/>
        <v>13</v>
      </c>
      <c r="F180" s="105">
        <f t="shared" si="5"/>
        <v>0</v>
      </c>
      <c r="G180" s="105">
        <f t="shared" si="4"/>
        <v>-507390</v>
      </c>
    </row>
    <row r="181" spans="1:7">
      <c r="A181" s="105" t="s">
        <v>4025</v>
      </c>
      <c r="B181" s="38">
        <v>-32000</v>
      </c>
      <c r="C181" s="73" t="s">
        <v>4026</v>
      </c>
      <c r="D181" s="105">
        <v>2</v>
      </c>
      <c r="E181" s="105">
        <f t="shared" ref="E181:E195" si="9">D181+E182</f>
        <v>11</v>
      </c>
      <c r="F181" s="105">
        <f t="shared" si="5"/>
        <v>0</v>
      </c>
      <c r="G181" s="105">
        <f t="shared" si="4"/>
        <v>-352000</v>
      </c>
    </row>
    <row r="182" spans="1:7">
      <c r="A182" s="105" t="s">
        <v>4029</v>
      </c>
      <c r="B182" s="38">
        <v>-100000</v>
      </c>
      <c r="C182" s="73" t="s">
        <v>158</v>
      </c>
      <c r="D182" s="105">
        <v>1</v>
      </c>
      <c r="E182" s="105">
        <f t="shared" si="9"/>
        <v>9</v>
      </c>
      <c r="F182" s="105">
        <f t="shared" si="5"/>
        <v>0</v>
      </c>
      <c r="G182" s="105">
        <f t="shared" si="4"/>
        <v>-900000</v>
      </c>
    </row>
    <row r="183" spans="1:7">
      <c r="A183" s="105" t="s">
        <v>4031</v>
      </c>
      <c r="B183" s="38">
        <v>-20000</v>
      </c>
      <c r="C183" s="73" t="s">
        <v>4032</v>
      </c>
      <c r="D183" s="105">
        <v>1</v>
      </c>
      <c r="E183" s="105">
        <f t="shared" si="9"/>
        <v>8</v>
      </c>
      <c r="F183" s="105">
        <f t="shared" si="5"/>
        <v>0</v>
      </c>
      <c r="G183" s="105">
        <f t="shared" si="4"/>
        <v>-160000</v>
      </c>
    </row>
    <row r="184" spans="1:7">
      <c r="A184" s="105" t="s">
        <v>999</v>
      </c>
      <c r="B184" s="38">
        <v>-8185</v>
      </c>
      <c r="C184" s="73" t="s">
        <v>4035</v>
      </c>
      <c r="D184" s="105">
        <v>2</v>
      </c>
      <c r="E184" s="105">
        <f t="shared" si="9"/>
        <v>7</v>
      </c>
      <c r="F184" s="105">
        <f t="shared" si="5"/>
        <v>0</v>
      </c>
      <c r="G184" s="105">
        <f t="shared" si="4"/>
        <v>-57295</v>
      </c>
    </row>
    <row r="185" spans="1:7">
      <c r="A185" s="105" t="s">
        <v>4041</v>
      </c>
      <c r="B185" s="38">
        <v>-60100</v>
      </c>
      <c r="C185" s="73" t="s">
        <v>4042</v>
      </c>
      <c r="D185" s="105">
        <v>0</v>
      </c>
      <c r="E185" s="105">
        <f t="shared" si="9"/>
        <v>5</v>
      </c>
      <c r="F185" s="105">
        <f t="shared" si="5"/>
        <v>0</v>
      </c>
      <c r="G185" s="105">
        <f t="shared" si="4"/>
        <v>-300500</v>
      </c>
    </row>
    <row r="186" spans="1:7">
      <c r="A186" s="105" t="s">
        <v>4041</v>
      </c>
      <c r="B186" s="38">
        <v>-32300</v>
      </c>
      <c r="C186" s="73" t="s">
        <v>655</v>
      </c>
      <c r="D186" s="105">
        <v>4</v>
      </c>
      <c r="E186" s="105">
        <f t="shared" si="9"/>
        <v>5</v>
      </c>
      <c r="F186" s="105">
        <f t="shared" si="5"/>
        <v>0</v>
      </c>
      <c r="G186" s="105">
        <f t="shared" si="4"/>
        <v>-161500</v>
      </c>
    </row>
    <row r="187" spans="1:7">
      <c r="A187" s="105" t="s">
        <v>4072</v>
      </c>
      <c r="B187" s="38">
        <v>-32750</v>
      </c>
      <c r="C187" s="73" t="s">
        <v>655</v>
      </c>
      <c r="D187" s="105">
        <v>1</v>
      </c>
      <c r="E187" s="105">
        <f t="shared" si="9"/>
        <v>1</v>
      </c>
      <c r="F187" s="105">
        <f t="shared" si="5"/>
        <v>0</v>
      </c>
      <c r="G187" s="105">
        <f t="shared" si="4"/>
        <v>-32750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61562</v>
      </c>
      <c r="C196" s="11"/>
      <c r="D196" s="11"/>
      <c r="E196" s="11"/>
      <c r="F196" s="11"/>
      <c r="G196" s="29">
        <f>SUM(G105:G195)</f>
        <v>1723880822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11647843.391891891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K7" zoomScaleNormal="100" workbookViewId="0">
      <selection activeCell="Q28" sqref="Q28:Q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61562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106333861</v>
      </c>
      <c r="G19" s="29">
        <f t="shared" si="0"/>
        <v>-1092772.4177699983</v>
      </c>
      <c r="H19" s="11"/>
      <c r="K19" s="2" t="s">
        <v>85</v>
      </c>
      <c r="L19" s="43">
        <f>-مرداد97!D64</f>
        <v>10901239</v>
      </c>
      <c r="M19" s="2" t="s">
        <v>4013</v>
      </c>
      <c r="N19" s="3">
        <v>5805000</v>
      </c>
      <c r="O19" s="188" t="s">
        <v>4064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63000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-10901239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4018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196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4038</v>
      </c>
      <c r="N28" s="119">
        <f>O28*P28</f>
        <v>3438132.1</v>
      </c>
      <c r="O28" s="105">
        <v>949</v>
      </c>
      <c r="P28" s="105">
        <v>3622.9</v>
      </c>
      <c r="Q28" s="38">
        <v>2458039</v>
      </c>
      <c r="R28" s="118" t="s">
        <v>3961</v>
      </c>
      <c r="S28" s="118">
        <v>26</v>
      </c>
      <c r="T28" s="73" t="s">
        <v>4066</v>
      </c>
      <c r="U28" s="119">
        <f>Q28*0.02*S28/31</f>
        <v>41231.621935483869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4068</v>
      </c>
      <c r="N29" s="119">
        <f>O29*P29</f>
        <v>74028931</v>
      </c>
      <c r="O29" s="105">
        <v>122666</v>
      </c>
      <c r="P29" s="105">
        <v>603.5</v>
      </c>
      <c r="Q29" s="38">
        <v>74409395</v>
      </c>
      <c r="R29" s="118" t="s">
        <v>4069</v>
      </c>
      <c r="S29" s="118">
        <f>S28-26</f>
        <v>0</v>
      </c>
      <c r="T29" s="118" t="s">
        <v>4070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O30" s="105"/>
      <c r="P30" s="105"/>
      <c r="Q30" s="38"/>
      <c r="R30" s="118"/>
      <c r="S30" s="118"/>
      <c r="T30" s="118"/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450775</v>
      </c>
      <c r="O35" s="105"/>
      <c r="P35" s="105"/>
      <c r="Q35" s="119">
        <f>SUM(N28:N33)-SUM(Q28:Q32)</f>
        <v>599629.09999999404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106333861</v>
      </c>
      <c r="M37" s="2"/>
      <c r="N37" s="3">
        <f>SUM(N16:N35)</f>
        <v>181012551.09999999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232622</v>
      </c>
      <c r="M38" s="2"/>
      <c r="N38" s="3">
        <f>N16+N17+N22</f>
        <v>-6209244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163333861</v>
      </c>
      <c r="M39" s="3"/>
      <c r="N39" s="2"/>
      <c r="R39" t="s">
        <v>25</v>
      </c>
      <c r="T39" t="s">
        <v>25</v>
      </c>
      <c r="U39" t="s">
        <v>4043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4044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4045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4046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4047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4048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4049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4037</v>
      </c>
      <c r="N46" s="9">
        <v>4</v>
      </c>
      <c r="Q46" s="14">
        <v>125000</v>
      </c>
      <c r="R46" s="118" t="s">
        <v>1167</v>
      </c>
      <c r="U46" t="s">
        <v>4050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4051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4052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4053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S68" s="121"/>
      <c r="T68" s="121"/>
    </row>
    <row r="69" spans="1:28">
      <c r="K69" s="2" t="s">
        <v>328</v>
      </c>
      <c r="L69" s="3">
        <f>L68/30</f>
        <v>132222.20000000001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2018-08-06T10:12:26Z</dcterms:modified>
</cp:coreProperties>
</file>