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2" activeTab="31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N10" i="18" l="1"/>
  <c r="F90" i="32" l="1"/>
  <c r="G90" i="32"/>
  <c r="G89" i="32"/>
  <c r="F89" i="32"/>
  <c r="C62" i="32"/>
  <c r="C61" i="32"/>
  <c r="K36" i="32"/>
  <c r="L83" i="32"/>
  <c r="L84" i="32"/>
  <c r="L85" i="32"/>
  <c r="K79" i="32"/>
  <c r="K81" i="32"/>
  <c r="K82" i="32"/>
  <c r="K83" i="32"/>
  <c r="K84" i="32"/>
  <c r="K85" i="32"/>
  <c r="E86" i="32" l="1"/>
  <c r="C63" i="32"/>
  <c r="C60" i="32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L10" i="32" s="1"/>
  <c r="M7" i="32"/>
  <c r="G80" i="32"/>
  <c r="F79" i="32"/>
  <c r="F80" i="32"/>
  <c r="L80" i="32" s="1"/>
  <c r="F81" i="32"/>
  <c r="L81" i="32" s="1"/>
  <c r="F82" i="32"/>
  <c r="L82" i="32" s="1"/>
  <c r="F78" i="32"/>
  <c r="L78" i="32" s="1"/>
  <c r="M9" i="32"/>
  <c r="M5" i="32"/>
  <c r="M3" i="32"/>
  <c r="Q11" i="32" l="1"/>
  <c r="P13" i="32"/>
  <c r="P17" i="32"/>
  <c r="P15" i="32"/>
  <c r="F86" i="32"/>
  <c r="M55" i="32"/>
  <c r="P33" i="32"/>
  <c r="I32" i="32"/>
  <c r="L32" i="32" s="1"/>
  <c r="I3" i="32"/>
  <c r="I4" i="32"/>
  <c r="L4" i="32" s="1"/>
  <c r="I5" i="32"/>
  <c r="I6" i="32"/>
  <c r="L6" i="32" s="1"/>
  <c r="I7" i="32"/>
  <c r="I8" i="32"/>
  <c r="L8" i="32" s="1"/>
  <c r="I9" i="32"/>
  <c r="I33" i="32"/>
  <c r="I34" i="32"/>
  <c r="L34" i="32" s="1"/>
  <c r="I35" i="32"/>
  <c r="I36" i="32"/>
  <c r="L36" i="32" s="1"/>
  <c r="I37" i="32"/>
  <c r="I38" i="32"/>
  <c r="L38" i="32" s="1"/>
  <c r="I39" i="32"/>
  <c r="I2" i="32"/>
  <c r="L2" i="32" s="1"/>
  <c r="P39" i="32"/>
  <c r="O39" i="32"/>
  <c r="Q39" i="32" s="1"/>
  <c r="P37" i="32"/>
  <c r="O37" i="32"/>
  <c r="Q37" i="32" s="1"/>
  <c r="P35" i="32"/>
  <c r="O35" i="32"/>
  <c r="Q35" i="32" s="1"/>
  <c r="K32" i="32"/>
  <c r="O33" i="32"/>
  <c r="Q33" i="32" s="1"/>
  <c r="C86" i="32"/>
  <c r="O9" i="32"/>
  <c r="O7" i="32"/>
  <c r="O5" i="32"/>
  <c r="O3" i="32"/>
  <c r="G106" i="13"/>
  <c r="G107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09" i="13" l="1"/>
  <c r="G104" i="13"/>
  <c r="G105" i="13"/>
  <c r="G108" i="13"/>
  <c r="G103" i="13"/>
  <c r="G102" i="13"/>
  <c r="D147" i="20"/>
  <c r="G79" i="32" l="1"/>
  <c r="H79" i="32" s="1"/>
  <c r="K38" i="32"/>
  <c r="K7" i="32"/>
  <c r="K9" i="32"/>
  <c r="K8" i="32"/>
  <c r="V2" i="33"/>
  <c r="F21" i="33"/>
  <c r="F14" i="33"/>
  <c r="H80" i="32"/>
  <c r="H81" i="32"/>
  <c r="M81" i="32" s="1"/>
  <c r="H82" i="32"/>
  <c r="M82" i="32" s="1"/>
  <c r="H83" i="32"/>
  <c r="M83" i="32" s="1"/>
  <c r="H84" i="32"/>
  <c r="H78" i="32"/>
  <c r="M80" i="32" l="1"/>
  <c r="I80" i="32"/>
  <c r="K80" i="32" s="1"/>
  <c r="M78" i="32"/>
  <c r="I78" i="32"/>
  <c r="K78" i="32" s="1"/>
  <c r="K86" i="32" s="1"/>
  <c r="M79" i="32"/>
  <c r="J79" i="32"/>
  <c r="L79" i="32" s="1"/>
  <c r="L86" i="32" s="1"/>
  <c r="C69" i="32"/>
  <c r="P5" i="32"/>
  <c r="Q5" i="32"/>
  <c r="O5" i="33"/>
  <c r="F29" i="33"/>
  <c r="F28" i="33"/>
  <c r="F27" i="33"/>
  <c r="F26" i="33"/>
  <c r="F2" i="33"/>
  <c r="F25" i="33"/>
  <c r="F24" i="33"/>
  <c r="F23" i="33"/>
  <c r="F22" i="33"/>
  <c r="F20" i="33"/>
  <c r="F19" i="33"/>
  <c r="F18" i="33"/>
  <c r="F17" i="33"/>
  <c r="F15" i="33"/>
  <c r="F13" i="33"/>
  <c r="F12" i="33"/>
  <c r="F11" i="33"/>
  <c r="F10" i="33"/>
  <c r="F9" i="33"/>
  <c r="F8" i="33"/>
  <c r="F7" i="33"/>
  <c r="F6" i="33"/>
  <c r="F5" i="33"/>
  <c r="F4" i="33"/>
  <c r="F16" i="33"/>
  <c r="F3" i="33"/>
  <c r="M86" i="32" l="1"/>
  <c r="C71" i="32" s="1"/>
  <c r="O44" i="33"/>
  <c r="O28" i="33"/>
  <c r="O20" i="33"/>
  <c r="O12" i="33"/>
  <c r="O3" i="33"/>
  <c r="O43" i="33"/>
  <c r="O35" i="33"/>
  <c r="O27" i="33"/>
  <c r="O19" i="33"/>
  <c r="O11" i="33"/>
  <c r="O2" i="33"/>
  <c r="Q2" i="33" s="1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K2" i="32"/>
  <c r="K3" i="32"/>
  <c r="K4" i="32"/>
  <c r="K35" i="32"/>
  <c r="K6" i="32"/>
  <c r="P2" i="33" l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L23" i="18" l="1"/>
  <c r="P3" i="32"/>
  <c r="Q3" i="32"/>
  <c r="P7" i="32"/>
  <c r="Q7" i="32"/>
  <c r="P9" i="32"/>
  <c r="Q9" i="32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F189" i="15" l="1"/>
  <c r="F188" i="15"/>
  <c r="P55" i="32"/>
  <c r="F186" i="15"/>
  <c r="Q55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7" i="13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7" i="20" l="1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28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L26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<sst xmlns="http://schemas.openxmlformats.org/spreadsheetml/2006/main" count="2529" uniqueCount="1084">
  <si>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</si>
  <si>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</si>
  <si>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</si>
  <si>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</si>
  <si>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</si>
  <si>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</si>
  <si>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</si>
  <si>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</si>
  <si>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</si>
  <si>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</si>
  <si>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</si>
  <si>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</si>
  <si>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</si>
  <si>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</si>
  <si>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</si>
  <si>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</si>
  <si>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</si>
  <si>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</si>
  <si>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</si>
  <si>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</si>
  <si>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</si>
  <si>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</si>
  <si>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</si>
  <si>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</si>
  <si>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</si>
  <si>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</si>
  <si>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</si>
  <si>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</si>
  <si>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</si>
  <si>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</si>
  <si>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</si>
  <si>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</si>
  <si>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</si>
  <si>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</si>
  <si>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</si>
  <si>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</si>
  <si>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</si>
  <si>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</si>
  <si>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</si>
  <si>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</si>
  <si>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</si>
  <si>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</si>
  <si>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</si>
  <si>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</si>
  <si>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</si>
  <si>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</si>
  <si>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</si>
  <si>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</si>
  <si>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</si>
  <si>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</si>
  <si>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</si>
  <si>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</si>
  <si>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</si>
  <si>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</si>
  <si>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</si>
  <si>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</si>
  <si>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</si>
  <si>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</si>
  <si>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</si>
  <si>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</si>
  <si>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</si>
  <si>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</si>
  <si>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</si>
  <si>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</si>
  <si>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</si>
  <si>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</si>
  <si>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</si>
  <si>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</si>
  <si>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</si>
  <si>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</si>
  <si>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</si>
  <si>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</si>
  <si>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</si>
  <si>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</si>
  <si>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</si>
  <si>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</si>
  <si>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</si>
  <si>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</si>
  <si>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</si>
  <si>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</si>
  <si>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</si>
  <si>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</si>
  <si>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</si>
  <si>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</si>
  <si>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</si>
  <si>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</si>
  <si>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</si>
  <si>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</si>
  <si>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</si>
  <si>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</si>
  <si>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</si>
  <si>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</si>
  <si>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</si>
  <si>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</si>
  <si>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</si>
  <si>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</si>
  <si>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</si>
  <si>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</si>
  <si>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</si>
  <si>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</si>
  <si>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</si>
  <si>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</si>
  <si>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</si>
  <si>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</si>
  <si>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</si>
  <si>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</si>
  <si>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</si>
  <si>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</si>
  <si>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</si>
  <si>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</si>
  <si>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</si>
  <si>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</si>
  <si>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</si>
  <si>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</si>
  <si>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</si>
  <si>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</si>
  <si>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</si>
  <si>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</si>
  <si>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</si>
  <si>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</si>
  <si>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</si>
  <si>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</si>
  <si>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</si>
  <si>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</si>
  <si>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</si>
  <si>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</si>
  <si>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</si>
  <si>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</si>
  <si>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</si>
  <si>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</si>
  <si>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</si>
  <si>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</si>
  <si>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</si>
  <si>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</si>
  <si>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</si>
  <si>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</si>
  <si>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</si>
  <si>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</si>
  <si>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</si>
  <si>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</si>
  <si>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</si>
  <si>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</si>
  <si>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</si>
  <si>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</si>
  <si>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</si>
  <si>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</si>
  <si>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</si>
  <si>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</si>
  <si>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</si>
  <si>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</si>
  <si>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</si>
  <si>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</si>
  <si>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</si>
  <si>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</si>
  <si>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</si>
  <si>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</si>
  <si>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</si>
  <si>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</si>
  <si>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</si>
  <si>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</si>
  <si>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</si>
  <si>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</si>
  <si>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</si>
  <si>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</si>
  <si>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</si>
  <si>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</si>
  <si>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</si>
  <si>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</si>
  <si>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</si>
  <si>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</si>
  <si>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</si>
  <si>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</si>
  <si>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</si>
  <si>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</si>
  <si>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</si>
  <si>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</si>
  <si>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</si>
  <si>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</si>
  <si>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</si>
  <si>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</si>
  <si>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</si>
  <si>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</si>
  <si>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</si>
  <si>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</si>
  <si>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</si>
  <si>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</si>
  <si>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</si>
  <si>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</si>
  <si>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</si>
  <si>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</si>
  <si>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</si>
  <si>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</si>
  <si>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</si>
  <si>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</si>
  <si>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</si>
  <si>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</si>
  <si>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</si>
  <si>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</si>
  <si>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</si>
  <si>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</si>
  <si>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</si>
  <si>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</si>
  <si>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</si>
  <si>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</si>
  <si>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</si>
  <si>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</si>
  <si>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</si>
  <si>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</si>
  <si>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</si>
  <si>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</si>
  <si>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</si>
  <si>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</si>
  <si>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</si>
  <si>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</si>
  <si>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</si>
  <si>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</si>
  <si>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</si>
  <si>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</si>
  <si>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</si>
  <si>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</si>
  <si>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</si>
  <si>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</si>
  <si>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</si>
  <si>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</si>
  <si>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</si>
  <si>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</si>
  <si>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</si>
  <si>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</si>
  <si>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</si>
  <si>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</si>
  <si>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</si>
  <si>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</si>
  <si>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</si>
  <si>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</si>
  <si>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</si>
  <si>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</si>
  <si>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</si>
  <si>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</si>
  <si>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</si>
  <si>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</si>
  <si>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</si>
  <si>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</si>
  <si>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</si>
  <si>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</si>
  <si>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</si>
  <si>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</si>
  <si>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</si>
  <si>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</si>
  <si>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</si>
  <si>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</si>
  <si>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</si>
  <si>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</si>
  <si>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</si>
  <si>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</si>
  <si>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</si>
  <si>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</si>
  <si>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</si>
  <si>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</si>
  <si>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</si>
  <si>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</si>
  <si>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</si>
  <si>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</si>
  <si>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</si>
  <si>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</si>
  <si>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</si>
  <si>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</si>
  <si>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</si>
  <si>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</si>
  <si>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</si>
  <si>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</si>
  <si>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</si>
  <si>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</si>
  <si>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</si>
  <si>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</si>
  <si>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</si>
  <si>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</si>
  <si>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</si>
  <si>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</si>
  <si>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</si>
  <si>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</si>
  <si>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</si>
  <si>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</si>
  <si>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</si>
  <si>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</si>
  <si>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</si>
  <si>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</si>
  <si>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</si>
  <si>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</si>
  <si>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</si>
  <si>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</si>
  <si>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</si>
  <si>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</si>
  <si>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</si>
  <si>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</si>
  <si>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</si>
  <si>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</si>
  <si>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</si>
  <si>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</si>
  <si>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</si>
  <si>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</si>
  <si>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</si>
  <si>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</si>
  <si>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</si>
  <si>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</si>
  <si>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</si>
  <si>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</si>
  <si>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</si>
  <si>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</si>
  <si>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</si>
  <si>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</si>
  <si>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</si>
  <si>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</si>
  <si>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</si>
  <si>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</si>
  <si>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</si>
  <si>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</si>
  <si>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</si>
  <si>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</si>
  <si>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</si>
  <si>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</si>
  <si>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</si>
  <si>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</si>
  <si>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</si>
  <si>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</si>
  <si>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</si>
  <si>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</si>
  <si>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</si>
  <si>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</si>
  <si>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</si>
  <si>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</si>
  <si>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</si>
  <si>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</si>
  <si>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</si>
  <si>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</si>
  <si>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</si>
  <si>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</si>
  <si>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</si>
  <si>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</si>
  <si>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</si>
  <si>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</si>
  <si>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</si>
  <si>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</si>
  <si>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</si>
  <si>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</si>
  <si>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</si>
  <si>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</si>
  <si>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</si>
  <si>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</si>
  <si>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</si>
  <si>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</si>
  <si>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</si>
  <si>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</si>
  <si>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</si>
  <si>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</si>
  <si>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</si>
  <si>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</si>
  <si>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</si>
  <si>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</si>
  <si>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</si>
  <si>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</si>
  <si>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</si>
  <si>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</si>
  <si>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</si>
  <si>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</si>
  <si>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</si>
  <si>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</si>
  <si>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</si>
  <si>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</si>
  <si>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</si>
  <si>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</si>
  <si>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</si>
  <si>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</si>
  <si>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</si>
  <si>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</si>
  <si>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</si>
  <si>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</si>
  <si>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</si>
  <si>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</si>
  <si>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</si>
  <si>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</si>
  <si>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</si>
  <si>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</si>
  <si>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</si>
  <si>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</si>
  <si>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</si>
  <si>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</si>
  <si>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</si>
  <si>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</si>
  <si>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</si>
  <si>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</si>
  <si>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</si>
  <si>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</si>
  <si>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</si>
  <si>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</si>
  <si>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</si>
  <si>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</si>
  <si>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</si>
  <si>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</si>
  <si>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</si>
  <si>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</si>
  <si>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</si>
  <si>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</si>
  <si>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</si>
  <si>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</si>
  <si>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</si>
  <si>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</si>
  <si>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</si>
  <si>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</si>
  <si>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</si>
  <si>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</si>
  <si>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</si>
  <si>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</si>
  <si>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</si>
  <si>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</si>
  <si>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</si>
  <si>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</si>
  <si>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</si>
  <si>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</si>
  <si>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</si>
  <si>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</si>
  <si>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</si>
  <si>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</si>
  <si>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</si>
  <si>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</si>
  <si>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</si>
  <si>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</si>
  <si>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</si>
  <si>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</si>
  <si>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</si>
  <si>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</si>
  <si>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</si>
  <si>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</si>
  <si>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</si>
  <si>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</si>
  <si>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</si>
  <si>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</si>
  <si>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</si>
  <si>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</si>
  <si>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</si>
  <si>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</si>
  <si>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</si>
  <si>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</si>
  <si>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</si>
  <si>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</si>
  <si>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</si>
  <si>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</si>
  <si>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</si>
  <si>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</si>
  <si>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</si>
  <si>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</si>
  <si>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</si>
  <si>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</si>
  <si>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</si>
  <si>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</si>
  <si>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</si>
  <si>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</si>
  <si>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</si>
  <si>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</si>
  <si>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</si>
  <si>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</si>
  <si>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</si>
  <si>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</si>
  <si>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</si>
  <si>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</si>
  <si>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</si>
  <si>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</si>
  <si>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</si>
  <si>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</si>
  <si>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</si>
  <si>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</si>
  <si>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</si>
  <si>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</si>
  <si>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</si>
  <si>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</si>
  <si>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</si>
  <si>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</si>
  <si>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</si>
  <si>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</si>
  <si>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</si>
  <si>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</si>
  <si>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</si>
  <si>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</si>
  <si>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</si>
  <si>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</si>
  <si>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</si>
  <si>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</si>
  <si>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</si>
  <si>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</si>
  <si>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</si>
  <si>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</si>
  <si>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</si>
  <si>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</si>
  <si>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</si>
  <si>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</si>
  <si>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</si>
  <si>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</si>
  <si>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</si>
  <si>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</si>
  <si>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</si>
  <si>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</si>
  <si>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</si>
  <si>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</si>
  <si>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</si>
  <si>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</si>
  <si>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</si>
  <si>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</si>
  <si>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</si>
  <si>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</si>
  <si>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</si>
  <si>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</si>
  <si>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</si>
  <si>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</si>
  <si>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</si>
  <si>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</si>
  <si>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</si>
  <si>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</si>
  <si>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</si>
  <si>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</si>
  <si>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</si>
  <si>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</si>
  <si>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</si>
  <si>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</si>
  <si>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</si>
  <si>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</si>
  <si>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</si>
  <si>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</si>
  <si>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</si>
  <si>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</si>
  <si>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</si>
  <si>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</si>
  <si>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</si>
  <si>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</si>
  <si>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</si>
  <si>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</si>
  <si>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</si>
  <si>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</si>
  <si>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</si>
  <si>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</si>
  <si>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</si>
  <si>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</si>
  <si>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</si>
  <si>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</si>
  <si>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</si>
  <si>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</si>
  <si>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</si>
  <si>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</si>
  <si>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</si>
  <si>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</si>
  <si>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</si>
  <si>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</si>
  <si>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</si>
  <si>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</si>
  <si>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</si>
  <si>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</si>
  <si>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</si>
  <si>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</si>
  <si>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</si>
  <si>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</si>
  <si>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</si>
  <si>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</si>
  <si>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</si>
  <si>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</si>
  <si>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</si>
  <si>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</si>
  <si>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</si>
  <si>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</si>
  <si>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</si>
  <si>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</si>
  <si>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</si>
  <si>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</si>
  <si>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</si>
  <si>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</si>
  <si>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</si>
  <si>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</si>
  <si>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</si>
  <si>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</si>
  <si>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</si>
  <si>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</si>
  <si>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</si>
  <si>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</si>
  <si>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</si>
  <si>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</si>
  <si>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</si>
  <si>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</si>
  <si>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</si>
  <si>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</si>
  <si>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</si>
  <si>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</si>
  <si>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</si>
  <si>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</si>
  <si>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</si>
  <si>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</si>
  <si>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</si>
  <si>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</si>
  <si>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</si>
  <si>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</si>
  <si>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</si>
  <si>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</si>
  <si>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</si>
  <si>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</si>
  <si>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</si>
  <si>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</si>
  <si>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</si>
  <si>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</si>
  <si>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</si>
  <si>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</si>
  <si>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</si>
  <si>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</si>
  <si>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</si>
  <si>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</si>
  <si>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</si>
  <si>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</si>
  <si>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</si>
  <si>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</si>
  <si>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</si>
  <si>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</si>
  <si>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</si>
  <si>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</si>
  <si>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</si>
  <si>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</si>
  <si>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</si>
  <si>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</si>
  <si>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</si>
  <si>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</si>
  <si>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</si>
  <si>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</si>
  <si>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</si>
  <si>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</si>
  <si>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</si>
  <si>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</si>
  <si>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</si>
  <si>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</si>
  <si>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</si>
  <si>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</si>
  <si>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</si>
  <si>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</si>
  <si>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</si>
  <si>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</si>
  <si>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</si>
  <si>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</si>
  <si>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</si>
  <si>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</si>
  <si>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</si>
  <si>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</si>
  <si>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</si>
  <si>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</si>
  <si>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</si>
  <si>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</si>
  <si>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</si>
  <si>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</si>
  <si>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</si>
  <si>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</si>
  <si>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</si>
  <si>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</si>
  <si>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</si>
  <si>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</si>
  <si>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</si>
  <si>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</si>
  <si>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</si>
  <si>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</si>
  <si>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</si>
  <si>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</si>
  <si>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</si>
  <si>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</si>
  <si>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</si>
  <si>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</si>
  <si>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</si>
  <si>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</si>
  <si>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</si>
  <si>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</si>
  <si>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</si>
  <si>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</si>
  <si>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</si>
  <si>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</si>
  <si>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</si>
  <si>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</si>
  <si>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</si>
  <si>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</si>
  <si>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</si>
  <si>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</si>
  <si>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</si>
  <si>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</si>
  <si>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</si>
  <si>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</si>
  <si>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</si>
  <si>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</si>
  <si>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</si>
  <si>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</si>
  <si>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</si>
  <si>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</si>
  <si>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</si>
  <si>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</si>
  <si>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</si>
  <si>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</si>
  <si>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</si>
  <si>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</si>
  <si>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</si>
  <si>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</si>
  <si>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</si>
  <si>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</si>
  <si>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</si>
  <si>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</si>
  <si>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</si>
  <si>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</si>
  <si>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</si>
  <si>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</si>
  <si>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</si>
  <si>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</si>
  <si>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</si>
  <si>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</si>
  <si>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</si>
  <si>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</si>
  <si>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</si>
  <si>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</si>
  <si>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</si>
  <si>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</si>
  <si>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</si>
  <si>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</si>
  <si>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</si>
  <si>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</si>
  <si>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</si>
  <si>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</si>
  <si>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</si>
  <si>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</si>
  <si>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</si>
  <si>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</si>
  <si>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</si>
  <si>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</si>
  <si>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</si>
  <si>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</si>
  <si>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</si>
  <si>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</si>
  <si>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</si>
  <si>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</si>
  <si>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</si>
  <si>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</si>
  <si>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</si>
  <si>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</si>
  <si>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</si>
  <si>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</si>
  <si>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</si>
  <si>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</si>
  <si>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</si>
  <si>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</si>
  <si>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</si>
  <si>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</si>
  <si>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</si>
  <si>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</si>
  <si>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</si>
  <si>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</si>
  <si>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</si>
  <si>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</si>
  <si>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</si>
  <si>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</si>
  <si>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</si>
  <si>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</si>
  <si>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</si>
  <si>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</si>
  <si>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</si>
  <si>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</si>
  <si>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</si>
  <si>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</si>
  <si>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</si>
  <si>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</si>
  <si>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</si>
  <si>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</si>
  <si>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</si>
  <si>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</si>
  <si>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</si>
  <si>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</si>
  <si>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</si>
  <si>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</si>
  <si>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</si>
  <si>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</si>
  <si>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</si>
  <si>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</si>
  <si>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</si>
  <si>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</si>
  <si>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</si>
  <si>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</si>
  <si>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</si>
  <si>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</si>
  <si>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</si>
  <si>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</si>
  <si>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</si>
  <si>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</si>
  <si>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</si>
  <si>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</si>
  <si>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</si>
  <si>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</si>
  <si>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</si>
  <si>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</si>
  <si>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</si>
  <si>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</si>
  <si>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</si>
  <si>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</si>
  <si>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</si>
  <si>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</si>
  <si>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</si>
  <si>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</si>
  <si>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</si>
  <si>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</si>
  <si>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</si>
  <si>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</si>
  <si>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</si>
  <si>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</si>
  <si>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</si>
  <si>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</si>
  <si>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</si>
  <si>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</si>
  <si>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</si>
  <si>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</si>
  <si>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</si>
  <si>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</si>
  <si>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</si>
  <si>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</si>
  <si>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</si>
  <si>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</si>
  <si>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</si>
  <si>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</si>
  <si>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</si>
  <si>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</si>
  <si>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</si>
  <si>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</si>
  <si>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</si>
  <si>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</si>
  <si>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</si>
  <si>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</si>
  <si>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</si>
  <si>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</si>
  <si>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</si>
  <si>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</si>
  <si>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</si>
  <si>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</si>
  <si>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</si>
  <si>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</si>
  <si>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</si>
  <si>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</si>
  <si>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</si>
  <si>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</si>
  <si>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</si>
  <si>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</si>
  <si>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</si>
  <si>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</si>
  <si>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</si>
  <si>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</si>
  <si>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</si>
  <si>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</si>
  <si>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</si>
  <si>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</si>
  <si>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</si>
  <si>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</si>
  <si>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</si>
  <si>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</si>
  <si>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</si>
  <si>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</si>
  <si>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</si>
  <si>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</si>
  <si>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</si>
  <si>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</si>
  <si>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</si>
  <si>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</si>
  <si>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</si>
  <si>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</si>
  <si>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</si>
  <si>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</si>
  <si>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</si>
  <si>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</si>
  <si>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</si>
  <si>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</si>
  <si>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</si>
  <si>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</si>
  <si>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</si>
  <si>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</si>
  <si>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</si>
  <si>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</si>
  <si>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</si>
  <si>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</si>
  <si>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</si>
  <si>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</si>
  <si>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</si>
  <si>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</si>
  <si>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</si>
  <si>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</si>
  <si>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</si>
  <si>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</si>
  <si>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</si>
  <si>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</si>
  <si>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</si>
  <si>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</si>
  <si>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</si>
  <si>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</si>
  <si>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</si>
  <si>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</si>
  <si>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</si>
  <si>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</si>
  <si>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</si>
  <si>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</si>
  <si>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</si>
  <si>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</si>
  <si>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</si>
  <si>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</si>
  <si>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</si>
  <si>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</si>
  <si>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</si>
  <si>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</si>
  <si>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</si>
  <si>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</si>
  <si>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</si>
  <si>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</si>
  <si>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</si>
  <si>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</si>
  <si>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</si>
  <si>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</si>
  <si>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</si>
  <si>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</si>
  <si>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</si>
  <si>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</si>
  <si>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</si>
  <si>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</si>
  <si>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</si>
  <si>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</si>
  <si>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</si>
  <si>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</si>
  <si>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</si>
  <si>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</si>
  <si>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</si>
  <si>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</si>
  <si>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</si>
  <si>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</si>
  <si>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</si>
  <si>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</si>
  <si>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</si>
  <si>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</si>
  <si>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</si>
  <si>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</si>
  <si>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</si>
  <si>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</si>
  <si>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</si>
  <si>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</si>
  <si>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</si>
  <si>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</si>
  <si>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</si>
  <si>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</si>
  <si>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</si>
  <si>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</si>
  <si>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</si>
  <si>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</si>
  <si>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</si>
  <si>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</si>
  <si>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</si>
  <si>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</si>
  <si>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</si>
  <si>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</si>
  <si>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</si>
  <si>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</si>
  <si>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</si>
  <si>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</si>
  <si>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</si>
  <si>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</si>
  <si>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</si>
  <si>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ردیف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</si>
  <si>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</si>
  <si>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</si>
  <si>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</si>
  <si>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</si>
  <si>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</si>
  <si>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</si>
  <si>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</si>
  <si>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</si>
  <si>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</si>
  <si>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</si>
  <si>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</si>
  <si>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</si>
  <si>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</si>
  <si>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</si>
  <si>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</si>
  <si>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</si>
  <si>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</si>
  <si>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</si>
  <si>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</si>
  <si>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</si>
  <si>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</si>
  <si>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</si>
  <si>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</si>
  <si>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</si>
  <si>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</si>
  <si>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</si>
  <si>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</si>
  <si>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</si>
  <si>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</si>
  <si>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</si>
  <si>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</si>
  <si>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</si>
  <si>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</si>
  <si>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</si>
  <si>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</si>
  <si>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</si>
  <si>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</si>
  <si>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</si>
  <si>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</si>
  <si>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</si>
  <si>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</si>
  <si>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</si>
  <si>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</si>
  <si>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</si>
  <si>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</si>
  <si>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</si>
  <si>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</si>
  <si>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</si>
  <si>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</si>
  <si>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</si>
  <si>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</si>
  <si>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</si>
  <si>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</si>
  <si>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</si>
  <si>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</si>
  <si>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</si>
  <si>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</si>
  <si>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</si>
  <si>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</si>
  <si>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</si>
  <si>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</si>
  <si>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</si>
  <si>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</si>
  <si>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</si>
  <si>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</si>
  <si>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</si>
  <si>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</si>
  <si>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</si>
  <si>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</si>
  <si>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</si>
  <si>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</si>
  <si>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</si>
  <si>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</si>
  <si>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</si>
  <si>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</si>
  <si>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</si>
  <si>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</si>
  <si>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</si>
  <si>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</si>
  <si>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</si>
  <si>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</si>
  <si>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</si>
  <si>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</si>
  <si>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</si>
  <si>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</si>
  <si>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</si>
  <si>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</si>
  <si>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</si>
  <si>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</si>
  <si>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</si>
  <si>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</si>
  <si>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</si>
  <si>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</si>
  <si>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</si>
  <si>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سود اشاد6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</si>
  <si>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</si>
  <si>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</si>
  <si>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</si>
  <si>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</si>
  <si>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</si>
  <si>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</si>
  <si>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</si>
  <si>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</si>
  <si>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</si>
  <si>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</si>
  <si>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</si>
  <si>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</si>
  <si>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</si>
  <si>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</si>
  <si>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</si>
  <si>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</si>
  <si>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</si>
  <si>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</si>
  <si>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</si>
  <si>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</si>
  <si>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مبلغ 1664082 سود دادم</t>
  </si>
  <si>
    <t>مبلغ 968084 سود دادم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</si>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</sst>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6" sqref="E3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1059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1080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1058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D110" sqref="D11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475</v>
      </c>
      <c r="F2" s="11">
        <f>IF(B2&gt;0,1,0)</f>
        <v>1</v>
      </c>
      <c r="G2" s="11">
        <f>B2*(E2-F2)</f>
        <v>23700000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471</v>
      </c>
      <c r="F3" s="11">
        <f t="shared" ref="F3:F38" si="1">IF(B3&gt;0,1,0)</f>
        <v>1</v>
      </c>
      <c r="G3" s="11">
        <f t="shared" ref="G3:G23" si="2">B3*(E3-F3)</f>
        <v>1410000000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470</v>
      </c>
      <c r="F4" s="11">
        <f t="shared" si="1"/>
        <v>1</v>
      </c>
      <c r="G4" s="11">
        <f t="shared" si="2"/>
        <v>1407000000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470</v>
      </c>
      <c r="F5" s="11">
        <f t="shared" si="1"/>
        <v>1</v>
      </c>
      <c r="G5" s="11">
        <f t="shared" si="2"/>
        <v>7035000000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469</v>
      </c>
      <c r="F6" s="11">
        <f t="shared" si="1"/>
        <v>1</v>
      </c>
      <c r="G6" s="11">
        <f t="shared" si="2"/>
        <v>1404000000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468</v>
      </c>
      <c r="F7" s="11">
        <f t="shared" si="1"/>
        <v>0</v>
      </c>
      <c r="G7" s="11">
        <f t="shared" si="2"/>
        <v>-1404000000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468</v>
      </c>
      <c r="F8" s="11">
        <f t="shared" si="1"/>
        <v>0</v>
      </c>
      <c r="G8" s="11">
        <f t="shared" si="2"/>
        <v>-93600000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468</v>
      </c>
      <c r="F9" s="11">
        <f t="shared" si="1"/>
        <v>1</v>
      </c>
      <c r="G9" s="11">
        <f>B9*(E9-F9)</f>
        <v>1401000000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467</v>
      </c>
      <c r="F10" s="11">
        <f t="shared" si="1"/>
        <v>1</v>
      </c>
      <c r="G10" s="11">
        <f t="shared" si="2"/>
        <v>1398000000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467</v>
      </c>
      <c r="F11" s="11">
        <f t="shared" si="1"/>
        <v>1</v>
      </c>
      <c r="G11" s="11">
        <f t="shared" si="2"/>
        <v>11650000000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464</v>
      </c>
      <c r="F12" s="11">
        <f t="shared" si="1"/>
        <v>1</v>
      </c>
      <c r="G12" s="11">
        <f t="shared" si="2"/>
        <v>462226790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464</v>
      </c>
      <c r="F13" s="11">
        <f t="shared" si="1"/>
        <v>1</v>
      </c>
      <c r="G13" s="11">
        <f t="shared" si="2"/>
        <v>1389000000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464</v>
      </c>
      <c r="F14" s="11">
        <f t="shared" si="1"/>
        <v>1</v>
      </c>
      <c r="G14" s="11">
        <f t="shared" si="2"/>
        <v>551477448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452</v>
      </c>
      <c r="F15" s="11">
        <f t="shared" si="1"/>
        <v>1</v>
      </c>
      <c r="G15" s="11">
        <f t="shared" si="2"/>
        <v>902000000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440</v>
      </c>
      <c r="F16" s="11">
        <f t="shared" si="1"/>
        <v>1</v>
      </c>
      <c r="G16" s="11">
        <f t="shared" si="2"/>
        <v>1317000000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439</v>
      </c>
      <c r="F17" s="11">
        <f t="shared" si="1"/>
        <v>1</v>
      </c>
      <c r="G17" s="11">
        <f t="shared" si="2"/>
        <v>1314000000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438</v>
      </c>
      <c r="F18" s="11">
        <f t="shared" si="1"/>
        <v>1</v>
      </c>
      <c r="G18" s="11">
        <f t="shared" si="2"/>
        <v>830300000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423</v>
      </c>
      <c r="F19" s="11">
        <f t="shared" si="1"/>
        <v>1</v>
      </c>
      <c r="G19" s="11">
        <f t="shared" si="2"/>
        <v>339504486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422</v>
      </c>
      <c r="F20" s="11">
        <f t="shared" si="1"/>
        <v>1</v>
      </c>
      <c r="G20" s="11">
        <f t="shared" si="2"/>
        <v>1263000000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416</v>
      </c>
      <c r="F21" s="11">
        <f t="shared" si="1"/>
        <v>1</v>
      </c>
      <c r="G21" s="11">
        <f t="shared" si="2"/>
        <v>207500000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402</v>
      </c>
      <c r="F22" s="11">
        <f t="shared" si="1"/>
        <v>0</v>
      </c>
      <c r="G22" s="11">
        <f t="shared" si="2"/>
        <v>-1206000000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394</v>
      </c>
      <c r="F23" s="11">
        <f t="shared" si="1"/>
        <v>1</v>
      </c>
      <c r="G23" s="11">
        <f t="shared" si="2"/>
        <v>1179000000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394</v>
      </c>
      <c r="F24" s="11">
        <f t="shared" si="1"/>
        <v>1</v>
      </c>
      <c r="G24" s="11">
        <f>B24*(E24-F24)</f>
        <v>247921299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392</v>
      </c>
      <c r="F25" s="11">
        <f t="shared" si="1"/>
        <v>0</v>
      </c>
      <c r="G25" s="11">
        <f t="shared" ref="G25:G30" si="3">B25*(E25-F25)</f>
        <v>-1254752800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390</v>
      </c>
      <c r="F26" s="11">
        <f t="shared" si="1"/>
        <v>0</v>
      </c>
      <c r="G26" s="11">
        <f t="shared" si="3"/>
        <v>-1170351000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388</v>
      </c>
      <c r="F27" s="11">
        <f t="shared" si="1"/>
        <v>1</v>
      </c>
      <c r="G27" s="11">
        <f t="shared" si="3"/>
        <v>387000000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388</v>
      </c>
      <c r="F28" s="11">
        <f t="shared" si="1"/>
        <v>1</v>
      </c>
      <c r="G28" s="11">
        <f t="shared" si="3"/>
        <v>2322000000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388</v>
      </c>
      <c r="F29" s="11">
        <f t="shared" si="1"/>
        <v>1</v>
      </c>
      <c r="G29" s="11">
        <f t="shared" si="3"/>
        <v>2244600000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388</v>
      </c>
      <c r="F30" s="11">
        <f t="shared" si="1"/>
        <v>0</v>
      </c>
      <c r="G30" s="11">
        <f t="shared" si="3"/>
        <v>-1940000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387</v>
      </c>
      <c r="F31" s="11">
        <f t="shared" si="1"/>
        <v>0</v>
      </c>
      <c r="G31" s="11">
        <f>B31*(E31-F31)</f>
        <v>-10062000000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385</v>
      </c>
      <c r="F32" s="11">
        <f t="shared" si="1"/>
        <v>0</v>
      </c>
      <c r="G32" s="11">
        <f>B32*(E32-F32)</f>
        <v>-10087000000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366</v>
      </c>
      <c r="F33" s="11">
        <f t="shared" si="1"/>
        <v>1</v>
      </c>
      <c r="G33" s="11">
        <f>B33*(E33-F33)</f>
        <v>119356825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348</v>
      </c>
      <c r="F34" s="11">
        <f t="shared" si="1"/>
        <v>1</v>
      </c>
      <c r="G34" s="11">
        <f t="shared" ref="G34:G126" si="4">B34*(E34-F34)</f>
        <v>9854800000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348</v>
      </c>
      <c r="F35" s="11">
        <f t="shared" si="1"/>
        <v>1</v>
      </c>
      <c r="G35" s="12">
        <f t="shared" si="4"/>
        <v>3817000000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333</v>
      </c>
      <c r="F36" s="11">
        <f t="shared" si="1"/>
        <v>1</v>
      </c>
      <c r="G36" s="11">
        <f t="shared" si="4"/>
        <v>139008732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333</v>
      </c>
      <c r="F37" s="11">
        <f t="shared" si="1"/>
        <v>0</v>
      </c>
      <c r="G37" s="11">
        <f t="shared" si="4"/>
        <v>-299700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332</v>
      </c>
      <c r="F38" s="11">
        <f t="shared" si="1"/>
        <v>1</v>
      </c>
      <c r="G38" s="12">
        <f t="shared" si="4"/>
        <v>662000000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332</v>
      </c>
      <c r="F39" s="11">
        <f>IF(B39&gt;0,1,0)</f>
        <v>1</v>
      </c>
      <c r="G39" s="11">
        <f t="shared" si="4"/>
        <v>662000000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318</v>
      </c>
      <c r="F40" s="11">
        <f>IF(B40&gt;0,1,0)</f>
        <v>0</v>
      </c>
      <c r="G40" s="11">
        <f t="shared" si="4"/>
        <v>-63600000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318</v>
      </c>
      <c r="F41" s="11">
        <f>IF(B41&gt;0,1,0)</f>
        <v>0</v>
      </c>
      <c r="G41" s="11">
        <f t="shared" si="4"/>
        <v>-197160000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318</v>
      </c>
      <c r="F42" s="11">
        <f t="shared" ref="F42:F126" si="5">IF(B42&gt;0,1,0)</f>
        <v>0</v>
      </c>
      <c r="G42" s="11">
        <f t="shared" si="4"/>
        <v>-38160000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316</v>
      </c>
      <c r="F43" s="11">
        <f t="shared" si="5"/>
        <v>1</v>
      </c>
      <c r="G43" s="11">
        <f t="shared" si="4"/>
        <v>204750000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316</v>
      </c>
      <c r="F44" s="11">
        <f t="shared" si="5"/>
        <v>0</v>
      </c>
      <c r="G44" s="11">
        <f t="shared" si="4"/>
        <v>-1580000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316</v>
      </c>
      <c r="F45" s="11">
        <f t="shared" si="5"/>
        <v>1</v>
      </c>
      <c r="G45" s="11">
        <f t="shared" si="4"/>
        <v>9135000000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312</v>
      </c>
      <c r="F46" s="11">
        <f t="shared" si="5"/>
        <v>0</v>
      </c>
      <c r="G46" s="11">
        <f t="shared" si="4"/>
        <v>-62400000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309</v>
      </c>
      <c r="F47" s="11">
        <f t="shared" si="5"/>
        <v>0</v>
      </c>
      <c r="G47" s="11">
        <f t="shared" si="4"/>
        <v>-61800000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308</v>
      </c>
      <c r="F48" s="11">
        <f t="shared" si="5"/>
        <v>0</v>
      </c>
      <c r="G48" s="11">
        <f t="shared" si="4"/>
        <v>-61600000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303</v>
      </c>
      <c r="F49" s="11">
        <f t="shared" si="5"/>
        <v>1</v>
      </c>
      <c r="G49" s="11">
        <f t="shared" si="4"/>
        <v>906000000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303</v>
      </c>
      <c r="F50" s="11">
        <f t="shared" si="5"/>
        <v>1</v>
      </c>
      <c r="G50" s="12">
        <f t="shared" si="4"/>
        <v>906000000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302</v>
      </c>
      <c r="F51" s="11">
        <f t="shared" si="5"/>
        <v>1</v>
      </c>
      <c r="G51" s="11">
        <f t="shared" si="4"/>
        <v>230504897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302</v>
      </c>
      <c r="F52" s="11">
        <f t="shared" si="5"/>
        <v>0</v>
      </c>
      <c r="G52" s="11">
        <f t="shared" si="4"/>
        <v>-60400000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295</v>
      </c>
      <c r="F53" s="11">
        <f t="shared" si="5"/>
        <v>0</v>
      </c>
      <c r="G53" s="11">
        <f t="shared" si="4"/>
        <v>-118147500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286</v>
      </c>
      <c r="F54" s="11">
        <f t="shared" si="5"/>
        <v>0</v>
      </c>
      <c r="G54" s="11">
        <f t="shared" si="4"/>
        <v>-286113256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280</v>
      </c>
      <c r="F55" s="11">
        <f t="shared" si="5"/>
        <v>0</v>
      </c>
      <c r="G55" s="11">
        <f t="shared" si="4"/>
        <v>-11200000000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271</v>
      </c>
      <c r="F56" s="11">
        <f t="shared" si="5"/>
        <v>1</v>
      </c>
      <c r="G56" s="11">
        <f t="shared" si="4"/>
        <v>233726040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244</v>
      </c>
      <c r="F57" s="11">
        <f t="shared" si="5"/>
        <v>0</v>
      </c>
      <c r="G57" s="11">
        <f t="shared" si="4"/>
        <v>-12248800000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243</v>
      </c>
      <c r="F58" s="11">
        <f t="shared" si="5"/>
        <v>0</v>
      </c>
      <c r="G58" s="11">
        <f t="shared" si="4"/>
        <v>-2964721500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240</v>
      </c>
      <c r="F59" s="11">
        <f t="shared" si="5"/>
        <v>1</v>
      </c>
      <c r="G59" s="11">
        <f t="shared" si="4"/>
        <v>127842534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239</v>
      </c>
      <c r="F60" s="11">
        <f t="shared" si="5"/>
        <v>0</v>
      </c>
      <c r="G60" s="11">
        <f t="shared" si="4"/>
        <v>-80782000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237</v>
      </c>
      <c r="F61" s="11">
        <f t="shared" si="5"/>
        <v>0</v>
      </c>
      <c r="G61" s="11">
        <f t="shared" si="4"/>
        <v>-35550000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233</v>
      </c>
      <c r="F62" s="11">
        <f t="shared" si="5"/>
        <v>0</v>
      </c>
      <c r="G62" s="11">
        <f t="shared" si="4"/>
        <v>-23300000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229</v>
      </c>
      <c r="F63" s="11">
        <f t="shared" si="5"/>
        <v>0</v>
      </c>
      <c r="G63" s="11">
        <f t="shared" si="4"/>
        <v>-45800000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229</v>
      </c>
      <c r="F64" s="11">
        <f t="shared" si="5"/>
        <v>0</v>
      </c>
      <c r="G64" s="11">
        <f t="shared" si="4"/>
        <v>-19923000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225</v>
      </c>
      <c r="F65" s="11">
        <f t="shared" si="5"/>
        <v>0</v>
      </c>
      <c r="G65" s="11">
        <f t="shared" si="4"/>
        <v>-6180750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224</v>
      </c>
      <c r="F66" s="11">
        <f t="shared" si="5"/>
        <v>0</v>
      </c>
      <c r="G66" s="11">
        <f t="shared" si="4"/>
        <v>-74816000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219</v>
      </c>
      <c r="F67" s="11">
        <f t="shared" si="5"/>
        <v>0</v>
      </c>
      <c r="G67" s="11">
        <f t="shared" si="4"/>
        <v>-4380000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218</v>
      </c>
      <c r="F68" s="11">
        <f t="shared" si="5"/>
        <v>0</v>
      </c>
      <c r="G68" s="11">
        <f t="shared" si="4"/>
        <v>-65509000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218</v>
      </c>
      <c r="F69" s="11">
        <f t="shared" si="5"/>
        <v>0</v>
      </c>
      <c r="G69" s="11">
        <f t="shared" si="4"/>
        <v>-21800000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213</v>
      </c>
      <c r="F70" s="11">
        <f t="shared" si="5"/>
        <v>0</v>
      </c>
      <c r="G70" s="11">
        <f t="shared" si="4"/>
        <v>-42600000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209</v>
      </c>
      <c r="F71" s="11">
        <f t="shared" si="5"/>
        <v>1</v>
      </c>
      <c r="G71" s="11">
        <f t="shared" si="4"/>
        <v>3200912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209</v>
      </c>
      <c r="F72" s="11">
        <f t="shared" si="5"/>
        <v>1</v>
      </c>
      <c r="G72" s="11">
        <f t="shared" si="4"/>
        <v>832000000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209</v>
      </c>
      <c r="F73" s="11">
        <f t="shared" si="5"/>
        <v>1</v>
      </c>
      <c r="G73" s="11">
        <f t="shared" si="4"/>
        <v>540800000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209</v>
      </c>
      <c r="F74" s="11">
        <f t="shared" si="5"/>
        <v>1</v>
      </c>
      <c r="G74" s="11">
        <f t="shared" si="4"/>
        <v>624000000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206</v>
      </c>
      <c r="F75" s="11">
        <f t="shared" si="5"/>
        <v>0</v>
      </c>
      <c r="G75" s="11">
        <f t="shared" si="4"/>
        <v>-41200000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203</v>
      </c>
      <c r="F76" s="11">
        <f t="shared" si="5"/>
        <v>0</v>
      </c>
      <c r="G76" s="11">
        <f t="shared" si="4"/>
        <v>-406142100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203</v>
      </c>
      <c r="F77" s="11">
        <f t="shared" si="5"/>
        <v>0</v>
      </c>
      <c r="G77" s="11">
        <f t="shared" si="4"/>
        <v>-40600000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199</v>
      </c>
      <c r="F78" s="11">
        <f t="shared" si="5"/>
        <v>1</v>
      </c>
      <c r="G78" s="11">
        <f t="shared" si="4"/>
        <v>396000000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191</v>
      </c>
      <c r="F79" s="11">
        <f t="shared" si="5"/>
        <v>0</v>
      </c>
      <c r="G79" s="11">
        <f t="shared" si="4"/>
        <v>-191095500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191</v>
      </c>
      <c r="F80" s="11">
        <f t="shared" si="5"/>
        <v>0</v>
      </c>
      <c r="G80" s="11">
        <f t="shared" si="4"/>
        <v>-27112450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188</v>
      </c>
      <c r="F81" s="11">
        <f t="shared" si="5"/>
        <v>0</v>
      </c>
      <c r="G81" s="11">
        <f t="shared" si="4"/>
        <v>-169294000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178</v>
      </c>
      <c r="F82" s="11">
        <f t="shared" si="5"/>
        <v>1</v>
      </c>
      <c r="G82" s="11">
        <f t="shared" si="4"/>
        <v>14381427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156</v>
      </c>
      <c r="F83" s="11">
        <f t="shared" si="5"/>
        <v>1</v>
      </c>
      <c r="G83" s="11">
        <f t="shared" si="4"/>
        <v>7750000000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155</v>
      </c>
      <c r="F84" s="11">
        <f t="shared" si="5"/>
        <v>1</v>
      </c>
      <c r="G84" s="11">
        <f t="shared" si="4"/>
        <v>4620000000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155</v>
      </c>
      <c r="F85" s="11">
        <f t="shared" si="5"/>
        <v>0</v>
      </c>
      <c r="G85" s="11">
        <f t="shared" si="4"/>
        <v>-11237500000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154</v>
      </c>
      <c r="F86" s="11">
        <f t="shared" si="5"/>
        <v>0</v>
      </c>
      <c r="G86" s="11">
        <f t="shared" si="4"/>
        <v>-43274000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149</v>
      </c>
      <c r="F87" s="11">
        <f t="shared" si="5"/>
        <v>1</v>
      </c>
      <c r="G87" s="11">
        <f t="shared" si="4"/>
        <v>370000000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148</v>
      </c>
      <c r="F88" s="11">
        <f t="shared" si="5"/>
        <v>1</v>
      </c>
      <c r="G88" s="11">
        <f t="shared" si="4"/>
        <v>11515980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143</v>
      </c>
      <c r="F89" s="11">
        <f t="shared" si="5"/>
        <v>1</v>
      </c>
      <c r="G89" s="11">
        <f t="shared" si="4"/>
        <v>2130000000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118</v>
      </c>
      <c r="F90" s="11">
        <f t="shared" si="5"/>
        <v>1</v>
      </c>
      <c r="G90" s="11">
        <f t="shared" si="4"/>
        <v>28646982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89</v>
      </c>
      <c r="F91" s="11">
        <f t="shared" si="5"/>
        <v>1</v>
      </c>
      <c r="G91" s="11">
        <f t="shared" si="4"/>
        <v>23949640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59</v>
      </c>
      <c r="F92" s="11">
        <f t="shared" si="5"/>
        <v>1</v>
      </c>
      <c r="G92" s="11">
        <f t="shared" si="4"/>
        <v>174000000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59</v>
      </c>
      <c r="F93" s="11">
        <f t="shared" si="5"/>
        <v>1</v>
      </c>
      <c r="G93" s="11">
        <f t="shared" si="4"/>
        <v>15914330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58</v>
      </c>
      <c r="F94" s="11">
        <f t="shared" si="5"/>
        <v>1</v>
      </c>
      <c r="G94" s="11">
        <f t="shared" si="4"/>
        <v>313500000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57</v>
      </c>
      <c r="F95" s="11">
        <f t="shared" si="5"/>
        <v>1</v>
      </c>
      <c r="G95" s="11">
        <f t="shared" si="4"/>
        <v>168000000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56</v>
      </c>
      <c r="F96" s="11">
        <f t="shared" si="5"/>
        <v>1</v>
      </c>
      <c r="G96" s="11">
        <f t="shared" si="4"/>
        <v>165000000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55</v>
      </c>
      <c r="F97" s="11">
        <f t="shared" si="5"/>
        <v>1</v>
      </c>
      <c r="G97" s="11">
        <f t="shared" si="4"/>
        <v>162000000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54</v>
      </c>
      <c r="F98" s="11">
        <f t="shared" si="5"/>
        <v>1</v>
      </c>
      <c r="G98" s="11">
        <f t="shared" si="4"/>
        <v>159000000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53</v>
      </c>
      <c r="F99" s="11">
        <f t="shared" si="5"/>
        <v>1</v>
      </c>
      <c r="G99" s="11">
        <f t="shared" si="4"/>
        <v>156000000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51</v>
      </c>
      <c r="F100" s="11">
        <f t="shared" si="5"/>
        <v>1</v>
      </c>
      <c r="G100" s="11">
        <f t="shared" si="4"/>
        <v>49975000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50</v>
      </c>
      <c r="F101" s="11">
        <f t="shared" si="5"/>
        <v>0</v>
      </c>
      <c r="G101" s="11">
        <f t="shared" si="4"/>
        <v>-99335000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0</v>
      </c>
      <c r="E102" s="11">
        <f t="shared" si="6"/>
        <v>29</v>
      </c>
      <c r="F102" s="11">
        <f t="shared" si="5"/>
        <v>1</v>
      </c>
      <c r="G102" s="11">
        <f t="shared" si="4"/>
        <v>84000000</v>
      </c>
    </row>
    <row r="103" spans="1:7" x14ac:dyDescent="0.25">
      <c r="A103" s="11" t="s">
        <v>1064</v>
      </c>
      <c r="B103" s="38">
        <v>295500</v>
      </c>
      <c r="C103" s="74" t="s">
        <v>1065</v>
      </c>
      <c r="D103" s="11">
        <v>15</v>
      </c>
      <c r="E103" s="11">
        <f t="shared" si="6"/>
        <v>29</v>
      </c>
      <c r="F103" s="11">
        <f t="shared" si="5"/>
        <v>1</v>
      </c>
      <c r="G103" s="11">
        <f t="shared" si="4"/>
        <v>8274000</v>
      </c>
    </row>
    <row r="104" spans="1:7" x14ac:dyDescent="0.25">
      <c r="A104" s="11" t="s">
        <v>933</v>
      </c>
      <c r="B104" s="38">
        <v>-10000</v>
      </c>
      <c r="C104" s="74" t="s">
        <v>939</v>
      </c>
      <c r="D104" s="11">
        <v>6</v>
      </c>
      <c r="E104" s="11">
        <f t="shared" si="6"/>
        <v>14</v>
      </c>
      <c r="F104" s="11">
        <f t="shared" si="5"/>
        <v>0</v>
      </c>
      <c r="G104" s="11">
        <f t="shared" si="4"/>
        <v>-140000</v>
      </c>
    </row>
    <row r="105" spans="1:7" x14ac:dyDescent="0.25">
      <c r="A105" s="11" t="s">
        <v>941</v>
      </c>
      <c r="B105" s="38">
        <v>1999000</v>
      </c>
      <c r="C105" s="74" t="s">
        <v>942</v>
      </c>
      <c r="D105" s="11">
        <v>5</v>
      </c>
      <c r="E105" s="11">
        <f t="shared" si="6"/>
        <v>8</v>
      </c>
      <c r="F105" s="11">
        <f t="shared" si="5"/>
        <v>1</v>
      </c>
      <c r="G105" s="11">
        <f t="shared" si="4"/>
        <v>13993000</v>
      </c>
    </row>
    <row r="106" spans="1:7" x14ac:dyDescent="0.25">
      <c r="A106" s="11" t="s">
        <v>960</v>
      </c>
      <c r="B106" s="38">
        <v>-60000000</v>
      </c>
      <c r="C106" s="74" t="s">
        <v>1058</v>
      </c>
      <c r="D106" s="11">
        <v>0</v>
      </c>
      <c r="E106" s="11">
        <f t="shared" si="6"/>
        <v>3</v>
      </c>
      <c r="F106" s="11">
        <f t="shared" si="5"/>
        <v>0</v>
      </c>
      <c r="G106" s="11">
        <f t="shared" si="4"/>
        <v>-180000000</v>
      </c>
    </row>
    <row r="107" spans="1:7" x14ac:dyDescent="0.25">
      <c r="A107" s="11" t="s">
        <v>960</v>
      </c>
      <c r="B107" s="38">
        <v>5850000</v>
      </c>
      <c r="C107" s="74" t="s">
        <v>1062</v>
      </c>
      <c r="D107" s="11">
        <v>1</v>
      </c>
      <c r="E107" s="11">
        <f t="shared" si="6"/>
        <v>3</v>
      </c>
      <c r="F107" s="11">
        <f t="shared" si="5"/>
        <v>1</v>
      </c>
      <c r="G107" s="11">
        <f t="shared" si="4"/>
        <v>11700000</v>
      </c>
    </row>
    <row r="108" spans="1:7" x14ac:dyDescent="0.25">
      <c r="A108" s="11" t="s">
        <v>1069</v>
      </c>
      <c r="B108" s="38">
        <v>3000000</v>
      </c>
      <c r="C108" s="74" t="s">
        <v>1081</v>
      </c>
      <c r="D108" s="11">
        <v>1</v>
      </c>
      <c r="E108" s="11">
        <f t="shared" si="6"/>
        <v>2</v>
      </c>
      <c r="F108" s="11">
        <f t="shared" si="5"/>
        <v>1</v>
      </c>
      <c r="G108" s="11">
        <f t="shared" si="4"/>
        <v>3000000</v>
      </c>
    </row>
    <row r="109" spans="1:7" x14ac:dyDescent="0.25">
      <c r="A109" s="11" t="s">
        <v>1082</v>
      </c>
      <c r="B109" s="38">
        <v>1995000</v>
      </c>
      <c r="C109" s="74" t="s">
        <v>1081</v>
      </c>
      <c r="D109" s="11">
        <v>1</v>
      </c>
      <c r="E109" s="11">
        <f t="shared" si="6"/>
        <v>1</v>
      </c>
      <c r="F109" s="11">
        <f t="shared" si="5"/>
        <v>1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4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12309793</v>
      </c>
      <c r="C127" s="11"/>
      <c r="D127" s="11"/>
      <c r="E127" s="11"/>
      <c r="F127" s="11"/>
      <c r="G127" s="29">
        <f>SUM(G2:G126)</f>
        <v>21011310766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44234338.454736844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3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workbookViewId="0">
      <pane ySplit="1" topLeftCell="A8" activePane="bottomLeft" state="frozen"/>
      <selection pane="bottomLeft" activeCell="K33" sqref="K33"/>
    </sheetView>
  </sheetViews>
  <sheetFormatPr defaultRowHeight="15" x14ac:dyDescent="0.25"/>
  <cols>
    <col min="1" max="1" width="10.7109375" bestFit="1" customWidth="1"/>
    <col min="2" max="2" width="9.28515625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15.140625" bestFit="1" customWidth="1"/>
    <col min="8" max="8" width="14.5703125" bestFit="1" customWidth="1"/>
    <col min="9" max="9" width="16.140625" bestFit="1" customWidth="1"/>
    <col min="10" max="10" width="17.5703125" bestFit="1" customWidth="1"/>
    <col min="11" max="11" width="16.140625" bestFit="1" customWidth="1"/>
    <col min="12" max="12" width="16.85546875" bestFit="1" customWidth="1"/>
    <col min="13" max="13" width="15.85546875" bestFit="1" customWidth="1"/>
    <col min="14" max="15" width="8.85546875" bestFit="1" customWidth="1"/>
    <col min="16" max="16" width="14.140625" bestFit="1" customWidth="1"/>
    <col min="17" max="17" width="12.85546875" bestFit="1" customWidth="1"/>
    <col min="18" max="18" width="37" bestFit="1" customWidth="1"/>
    <col min="19" max="19" width="13.85546875" bestFit="1" customWidth="1"/>
    <col min="20" max="20" width="37" bestFit="1" customWidth="1"/>
    <col min="21" max="21" width="11.42578125" bestFit="1" customWidth="1"/>
    <col min="25" max="25" width="11.42578125" bestFit="1" customWidth="1"/>
    <col min="27" max="27" width="35.140625" customWidth="1"/>
  </cols>
  <sheetData>
    <row r="1" spans="1:24" x14ac:dyDescent="0.25">
      <c r="A1" s="11" t="s">
        <v>967</v>
      </c>
      <c r="B1" s="11" t="s">
        <v>964</v>
      </c>
      <c r="C1" s="11" t="s">
        <v>965</v>
      </c>
      <c r="D1" s="11" t="s">
        <v>977</v>
      </c>
      <c r="E1" s="11" t="s">
        <v>979</v>
      </c>
      <c r="F1" s="11" t="s">
        <v>968</v>
      </c>
      <c r="G1" s="11" t="s">
        <v>183</v>
      </c>
      <c r="H1" s="11" t="s">
        <v>984</v>
      </c>
      <c r="I1" s="11" t="s">
        <v>973</v>
      </c>
      <c r="J1" s="11" t="s">
        <v>980</v>
      </c>
      <c r="K1" s="11" t="s">
        <v>981</v>
      </c>
      <c r="L1" s="11" t="s">
        <v>974</v>
      </c>
      <c r="M1" s="11" t="s">
        <v>982</v>
      </c>
      <c r="N1" s="11" t="s">
        <v>5</v>
      </c>
      <c r="O1" s="11" t="s">
        <v>484</v>
      </c>
      <c r="P1" s="11" t="s">
        <v>39</v>
      </c>
      <c r="Q1" s="11" t="s">
        <v>1066</v>
      </c>
      <c r="R1" s="11" t="s">
        <v>8</v>
      </c>
      <c r="S1" s="11" t="s">
        <v>986</v>
      </c>
    </row>
    <row r="2" spans="1:24" x14ac:dyDescent="0.25">
      <c r="A2" s="77" t="s">
        <v>952</v>
      </c>
      <c r="B2" s="77" t="s">
        <v>975</v>
      </c>
      <c r="C2" s="77">
        <v>400</v>
      </c>
      <c r="D2" s="77" t="s">
        <v>61</v>
      </c>
      <c r="E2" s="78">
        <v>96959</v>
      </c>
      <c r="F2" s="78">
        <v>39275391</v>
      </c>
      <c r="G2" s="77">
        <v>0</v>
      </c>
      <c r="H2" s="77">
        <v>21</v>
      </c>
      <c r="I2" s="78">
        <f t="shared" ref="I2:I12" si="0">F2*G2*($H$76-H2)/(36500)</f>
        <v>0</v>
      </c>
      <c r="J2" s="77">
        <v>7.2499999999999995E-2</v>
      </c>
      <c r="K2" s="78">
        <f>C2*E2*J2/100</f>
        <v>28118.11</v>
      </c>
      <c r="L2" s="77">
        <f>(E2*(1+J2/100)+I2/C2)/(1-J3/100)</f>
        <v>97099.692552100285</v>
      </c>
      <c r="M2" s="77"/>
      <c r="N2" s="77"/>
      <c r="O2" s="77"/>
      <c r="P2" s="77"/>
      <c r="Q2" s="77"/>
      <c r="R2" s="77" t="s">
        <v>976</v>
      </c>
      <c r="S2" s="77"/>
    </row>
    <row r="3" spans="1:24" x14ac:dyDescent="0.25">
      <c r="A3" s="77" t="s">
        <v>952</v>
      </c>
      <c r="B3" s="77" t="s">
        <v>975</v>
      </c>
      <c r="C3" s="77">
        <v>400</v>
      </c>
      <c r="D3" s="77" t="s">
        <v>978</v>
      </c>
      <c r="E3" s="78">
        <v>99999</v>
      </c>
      <c r="F3" s="78">
        <v>40434473</v>
      </c>
      <c r="G3" s="77"/>
      <c r="H3" s="77">
        <v>21</v>
      </c>
      <c r="I3" s="78">
        <f t="shared" si="0"/>
        <v>0</v>
      </c>
      <c r="J3" s="77">
        <v>7.2499999999999995E-2</v>
      </c>
      <c r="K3" s="78">
        <f>C3*E3*J3/100</f>
        <v>28999.71</v>
      </c>
      <c r="L3" s="77">
        <v>0</v>
      </c>
      <c r="M3" s="79">
        <f>F3-F2</f>
        <v>1159082</v>
      </c>
      <c r="N3" s="77">
        <v>400</v>
      </c>
      <c r="O3" s="77">
        <f>C2-N3</f>
        <v>0</v>
      </c>
      <c r="P3" s="79">
        <f>M3*N3/C2</f>
        <v>1159082</v>
      </c>
      <c r="Q3" s="79">
        <f>M3*O3/C2</f>
        <v>0</v>
      </c>
      <c r="R3" s="77" t="s">
        <v>985</v>
      </c>
      <c r="S3" s="77"/>
      <c r="X3" s="26"/>
    </row>
    <row r="4" spans="1:24" x14ac:dyDescent="0.25">
      <c r="A4" s="80" t="s">
        <v>962</v>
      </c>
      <c r="B4" s="80" t="s">
        <v>983</v>
      </c>
      <c r="C4" s="80">
        <v>300</v>
      </c>
      <c r="D4" s="80" t="s">
        <v>61</v>
      </c>
      <c r="E4" s="81">
        <v>97219</v>
      </c>
      <c r="F4" s="81">
        <v>29203853</v>
      </c>
      <c r="G4" s="80">
        <v>3</v>
      </c>
      <c r="H4" s="80">
        <v>21</v>
      </c>
      <c r="I4" s="81">
        <f t="shared" si="0"/>
        <v>2400.3166849315066</v>
      </c>
      <c r="J4" s="80">
        <v>7.2499999999999995E-2</v>
      </c>
      <c r="K4" s="81">
        <f>C4*E4*J4/100</f>
        <v>21145.1325</v>
      </c>
      <c r="L4" s="80">
        <f t="shared" ref="L4" si="1">(E4*(1+J4/100)+I4/C4)/(1-J5/100)</f>
        <v>97368.076686213957</v>
      </c>
      <c r="M4" s="80"/>
      <c r="N4" s="80"/>
      <c r="O4" s="80"/>
      <c r="P4" s="80"/>
      <c r="Q4" s="80"/>
      <c r="R4" s="80"/>
      <c r="S4" s="81"/>
    </row>
    <row r="5" spans="1:24" x14ac:dyDescent="0.25">
      <c r="A5" s="80" t="s">
        <v>960</v>
      </c>
      <c r="B5" s="80" t="s">
        <v>983</v>
      </c>
      <c r="C5" s="80">
        <v>300</v>
      </c>
      <c r="D5" s="80" t="s">
        <v>978</v>
      </c>
      <c r="E5" s="81">
        <v>98000</v>
      </c>
      <c r="F5" s="81">
        <v>29446055</v>
      </c>
      <c r="G5" s="80">
        <v>0</v>
      </c>
      <c r="H5" s="80">
        <v>0</v>
      </c>
      <c r="I5" s="81">
        <f t="shared" si="0"/>
        <v>0</v>
      </c>
      <c r="J5" s="80">
        <v>7.2499999999999995E-2</v>
      </c>
      <c r="K5" s="81"/>
      <c r="L5" s="80">
        <v>0</v>
      </c>
      <c r="M5" s="82">
        <f>F5-F4</f>
        <v>242202</v>
      </c>
      <c r="N5" s="80">
        <v>300</v>
      </c>
      <c r="O5" s="80">
        <f>C4-N5</f>
        <v>0</v>
      </c>
      <c r="P5" s="82">
        <f>M5*N5/C4</f>
        <v>242202</v>
      </c>
      <c r="Q5" s="82">
        <f>M5*O5/C4</f>
        <v>0</v>
      </c>
      <c r="R5" s="80"/>
      <c r="S5" s="81"/>
    </row>
    <row r="6" spans="1:24" x14ac:dyDescent="0.25">
      <c r="A6" s="77" t="s">
        <v>960</v>
      </c>
      <c r="B6" s="77" t="s">
        <v>1054</v>
      </c>
      <c r="C6" s="77">
        <v>200</v>
      </c>
      <c r="D6" s="77" t="s">
        <v>61</v>
      </c>
      <c r="E6" s="78">
        <v>70000</v>
      </c>
      <c r="F6" s="78">
        <v>14010149</v>
      </c>
      <c r="G6" s="77">
        <v>0</v>
      </c>
      <c r="H6" s="77">
        <v>0</v>
      </c>
      <c r="I6" s="78">
        <f t="shared" si="0"/>
        <v>0</v>
      </c>
      <c r="J6" s="77">
        <v>7.2499999999999995E-2</v>
      </c>
      <c r="K6" s="78">
        <f t="shared" ref="K6:K17" si="2">C6*E6*J6/100</f>
        <v>10149.999999999998</v>
      </c>
      <c r="L6" s="77">
        <f t="shared" ref="L6" si="3">(E6*(1+J6/100)+I6/C6)/(1-J7/100)</f>
        <v>70101.573640889648</v>
      </c>
      <c r="M6" s="77"/>
      <c r="N6" s="77"/>
      <c r="O6" s="77"/>
      <c r="P6" s="77"/>
      <c r="Q6" s="77"/>
      <c r="R6" s="77"/>
      <c r="S6" s="77"/>
    </row>
    <row r="7" spans="1:24" x14ac:dyDescent="0.25">
      <c r="A7" s="77" t="s">
        <v>960</v>
      </c>
      <c r="B7" s="77" t="s">
        <v>1054</v>
      </c>
      <c r="C7" s="77">
        <v>200</v>
      </c>
      <c r="D7" s="77" t="s">
        <v>978</v>
      </c>
      <c r="E7" s="78">
        <v>704889</v>
      </c>
      <c r="F7" s="78">
        <v>14087559</v>
      </c>
      <c r="G7" s="77">
        <v>0</v>
      </c>
      <c r="H7" s="77">
        <v>0</v>
      </c>
      <c r="I7" s="78">
        <f t="shared" si="0"/>
        <v>0</v>
      </c>
      <c r="J7" s="77">
        <v>7.2499999999999995E-2</v>
      </c>
      <c r="K7" s="78">
        <f t="shared" si="2"/>
        <v>102208.905</v>
      </c>
      <c r="L7" s="77">
        <v>0</v>
      </c>
      <c r="M7" s="79">
        <f>F7-F6</f>
        <v>77410</v>
      </c>
      <c r="N7" s="77">
        <v>100</v>
      </c>
      <c r="O7" s="77">
        <f>C6-N7</f>
        <v>100</v>
      </c>
      <c r="P7" s="79">
        <f>M7*N7/C6</f>
        <v>38705</v>
      </c>
      <c r="Q7" s="79">
        <f>M7*O7/C6</f>
        <v>38705</v>
      </c>
      <c r="R7" s="77"/>
      <c r="S7" s="77"/>
    </row>
    <row r="8" spans="1:24" x14ac:dyDescent="0.25">
      <c r="A8" s="80" t="s">
        <v>960</v>
      </c>
      <c r="B8" s="80" t="s">
        <v>995</v>
      </c>
      <c r="C8" s="80">
        <v>200</v>
      </c>
      <c r="D8" s="80" t="s">
        <v>61</v>
      </c>
      <c r="E8" s="81">
        <v>83000</v>
      </c>
      <c r="F8" s="81">
        <v>17464390</v>
      </c>
      <c r="G8" s="80">
        <v>0</v>
      </c>
      <c r="H8" s="80">
        <v>15</v>
      </c>
      <c r="I8" s="81">
        <f t="shared" si="0"/>
        <v>0</v>
      </c>
      <c r="J8" s="80">
        <v>7.2499999999999995E-2</v>
      </c>
      <c r="K8" s="81">
        <f t="shared" si="2"/>
        <v>12035</v>
      </c>
      <c r="L8" s="80">
        <f>(E8*(1+J8/100)+I8/C8)/(1-J9/100)</f>
        <v>83120.437317054864</v>
      </c>
      <c r="M8" s="80"/>
      <c r="N8" s="80"/>
      <c r="O8" s="80"/>
      <c r="P8" s="80"/>
      <c r="Q8" s="80"/>
      <c r="R8" s="80"/>
      <c r="S8" s="80"/>
    </row>
    <row r="9" spans="1:24" x14ac:dyDescent="0.25">
      <c r="A9" s="80" t="s">
        <v>960</v>
      </c>
      <c r="B9" s="80" t="s">
        <v>995</v>
      </c>
      <c r="C9" s="80">
        <v>200</v>
      </c>
      <c r="D9" s="80" t="s">
        <v>978</v>
      </c>
      <c r="E9" s="81">
        <v>83399</v>
      </c>
      <c r="F9" s="81">
        <v>17520183</v>
      </c>
      <c r="G9" s="80">
        <v>0</v>
      </c>
      <c r="H9" s="80">
        <v>15</v>
      </c>
      <c r="I9" s="81">
        <f t="shared" si="0"/>
        <v>0</v>
      </c>
      <c r="J9" s="80">
        <v>7.2499999999999995E-2</v>
      </c>
      <c r="K9" s="81">
        <f t="shared" si="2"/>
        <v>12092.855</v>
      </c>
      <c r="L9" s="80">
        <v>0</v>
      </c>
      <c r="M9" s="82">
        <f>F9-F8</f>
        <v>55793</v>
      </c>
      <c r="N9" s="80">
        <v>100</v>
      </c>
      <c r="O9" s="80">
        <f>C8-N9</f>
        <v>100</v>
      </c>
      <c r="P9" s="82">
        <f>M9*N9/C8</f>
        <v>27896.5</v>
      </c>
      <c r="Q9" s="82">
        <f>M9*O9/C8</f>
        <v>27896.5</v>
      </c>
      <c r="R9" s="80"/>
      <c r="S9" s="80"/>
    </row>
    <row r="10" spans="1:24" x14ac:dyDescent="0.25">
      <c r="A10" s="77" t="s">
        <v>1069</v>
      </c>
      <c r="B10" s="77" t="s">
        <v>1054</v>
      </c>
      <c r="C10" s="77">
        <v>143</v>
      </c>
      <c r="D10" s="77" t="s">
        <v>61</v>
      </c>
      <c r="E10" s="78">
        <v>70003</v>
      </c>
      <c r="F10" s="78">
        <v>10017729</v>
      </c>
      <c r="G10" s="77">
        <v>0</v>
      </c>
      <c r="H10" s="77">
        <v>0</v>
      </c>
      <c r="I10" s="78">
        <f t="shared" si="0"/>
        <v>0</v>
      </c>
      <c r="J10" s="77">
        <v>7.2499999999999995E-2</v>
      </c>
      <c r="K10" s="78">
        <f t="shared" si="2"/>
        <v>7257.5610249999991</v>
      </c>
      <c r="L10" s="77">
        <f t="shared" ref="L10" si="4">(E10*(1+J10/100)+I10/C10)/(1-J11/100)</f>
        <v>70104.577994045685</v>
      </c>
      <c r="M10" s="79"/>
      <c r="N10" s="77"/>
      <c r="O10" s="77"/>
      <c r="P10" s="79"/>
      <c r="Q10" s="79"/>
      <c r="R10" s="77"/>
      <c r="S10" s="77"/>
    </row>
    <row r="11" spans="1:24" x14ac:dyDescent="0.25">
      <c r="A11" s="77" t="s">
        <v>1069</v>
      </c>
      <c r="B11" s="77" t="s">
        <v>1054</v>
      </c>
      <c r="C11" s="77">
        <v>143</v>
      </c>
      <c r="D11" s="77" t="s">
        <v>978</v>
      </c>
      <c r="E11" s="78">
        <v>70500</v>
      </c>
      <c r="F11" s="78">
        <v>10074191</v>
      </c>
      <c r="G11" s="77">
        <v>0</v>
      </c>
      <c r="H11" s="77">
        <v>0</v>
      </c>
      <c r="I11" s="78">
        <f t="shared" si="0"/>
        <v>0</v>
      </c>
      <c r="J11" s="77">
        <v>7.2499999999999995E-2</v>
      </c>
      <c r="K11" s="78">
        <f t="shared" si="2"/>
        <v>7309.0874999999996</v>
      </c>
      <c r="L11" s="77"/>
      <c r="M11" s="79">
        <f>F11-F10</f>
        <v>56462</v>
      </c>
      <c r="N11" s="77">
        <v>71.5</v>
      </c>
      <c r="O11" s="77">
        <f>C10-N11</f>
        <v>71.5</v>
      </c>
      <c r="P11" s="79">
        <f>M11*N11/C10</f>
        <v>28231</v>
      </c>
      <c r="Q11" s="79">
        <f>M11*O11/C10</f>
        <v>28231</v>
      </c>
      <c r="R11" s="77"/>
      <c r="S11" s="77"/>
    </row>
    <row r="12" spans="1:24" x14ac:dyDescent="0.25">
      <c r="A12" s="80" t="s">
        <v>1069</v>
      </c>
      <c r="B12" s="80" t="s">
        <v>966</v>
      </c>
      <c r="C12" s="80">
        <v>500</v>
      </c>
      <c r="D12" s="80" t="s">
        <v>61</v>
      </c>
      <c r="E12" s="81">
        <v>80620</v>
      </c>
      <c r="F12" s="81">
        <v>40339223</v>
      </c>
      <c r="G12" s="80">
        <v>0</v>
      </c>
      <c r="H12" s="80">
        <v>0</v>
      </c>
      <c r="I12" s="81">
        <f t="shared" si="0"/>
        <v>0</v>
      </c>
      <c r="J12" s="80">
        <v>7.2499999999999995E-2</v>
      </c>
      <c r="K12" s="81">
        <f t="shared" si="2"/>
        <v>29224.75</v>
      </c>
      <c r="L12" s="80"/>
      <c r="M12" s="82"/>
      <c r="N12" s="80"/>
      <c r="O12" s="80"/>
      <c r="P12" s="82"/>
      <c r="Q12" s="82"/>
      <c r="R12" s="80"/>
      <c r="S12" s="80"/>
    </row>
    <row r="13" spans="1:24" x14ac:dyDescent="0.25">
      <c r="A13" s="80" t="s">
        <v>1069</v>
      </c>
      <c r="B13" s="80" t="s">
        <v>966</v>
      </c>
      <c r="C13" s="80">
        <v>500</v>
      </c>
      <c r="D13" s="80" t="s">
        <v>978</v>
      </c>
      <c r="E13" s="81">
        <v>80980</v>
      </c>
      <c r="F13" s="81">
        <v>40460644</v>
      </c>
      <c r="G13" s="80">
        <v>0</v>
      </c>
      <c r="H13" s="80">
        <v>0</v>
      </c>
      <c r="I13" s="81"/>
      <c r="J13" s="80">
        <v>7.2499999999999995E-2</v>
      </c>
      <c r="K13" s="81">
        <f t="shared" si="2"/>
        <v>29355.25</v>
      </c>
      <c r="L13" s="80"/>
      <c r="M13" s="82">
        <f>F13-F12</f>
        <v>121421</v>
      </c>
      <c r="N13" s="80">
        <v>250</v>
      </c>
      <c r="O13" s="80">
        <v>250</v>
      </c>
      <c r="P13" s="82">
        <f>M13*N13/C12</f>
        <v>60710.5</v>
      </c>
      <c r="Q13" s="82">
        <f>M13*O13/C12</f>
        <v>60710.5</v>
      </c>
      <c r="R13" s="80"/>
      <c r="S13" s="80"/>
    </row>
    <row r="14" spans="1:24" x14ac:dyDescent="0.25">
      <c r="A14" s="77" t="s">
        <v>1069</v>
      </c>
      <c r="B14" s="77" t="s">
        <v>1054</v>
      </c>
      <c r="C14" s="77">
        <v>140</v>
      </c>
      <c r="D14" s="77" t="s">
        <v>1071</v>
      </c>
      <c r="E14" s="78">
        <v>70502</v>
      </c>
      <c r="F14" s="78">
        <v>9877463</v>
      </c>
      <c r="G14" s="77">
        <v>0</v>
      </c>
      <c r="H14" s="77">
        <v>0</v>
      </c>
      <c r="I14" s="78"/>
      <c r="J14" s="77">
        <v>7.2499999999999995E-2</v>
      </c>
      <c r="K14" s="78">
        <f t="shared" si="2"/>
        <v>7155.9529999999995</v>
      </c>
      <c r="L14" s="77"/>
      <c r="M14" s="79"/>
      <c r="N14" s="77"/>
      <c r="O14" s="77"/>
      <c r="P14" s="79"/>
      <c r="Q14" s="79"/>
      <c r="R14" s="77"/>
      <c r="S14" s="77"/>
    </row>
    <row r="15" spans="1:24" x14ac:dyDescent="0.25">
      <c r="A15" s="77" t="s">
        <v>1069</v>
      </c>
      <c r="B15" s="77" t="s">
        <v>1054</v>
      </c>
      <c r="C15" s="77">
        <v>140</v>
      </c>
      <c r="D15" s="77" t="s">
        <v>978</v>
      </c>
      <c r="E15" s="78">
        <v>71186</v>
      </c>
      <c r="F15" s="78">
        <v>9958940</v>
      </c>
      <c r="G15" s="77">
        <v>0</v>
      </c>
      <c r="H15" s="77">
        <v>0</v>
      </c>
      <c r="I15" s="78"/>
      <c r="J15" s="77">
        <v>7.2499999999999995E-2</v>
      </c>
      <c r="K15" s="78">
        <f t="shared" si="2"/>
        <v>7225.378999999999</v>
      </c>
      <c r="L15" s="77"/>
      <c r="M15" s="79">
        <f>F15-F14</f>
        <v>81477</v>
      </c>
      <c r="N15" s="77">
        <v>70</v>
      </c>
      <c r="O15" s="77">
        <v>70</v>
      </c>
      <c r="P15" s="79">
        <f>M15*N15/C14</f>
        <v>40738.5</v>
      </c>
      <c r="Q15" s="79">
        <f>M15*O15/C14</f>
        <v>40738.5</v>
      </c>
      <c r="R15" s="77"/>
      <c r="S15" s="77"/>
    </row>
    <row r="16" spans="1:24" x14ac:dyDescent="0.25">
      <c r="A16" s="80" t="s">
        <v>952</v>
      </c>
      <c r="B16" s="80" t="s">
        <v>966</v>
      </c>
      <c r="C16" s="80">
        <v>3</v>
      </c>
      <c r="D16" s="80" t="s">
        <v>61</v>
      </c>
      <c r="E16" s="81">
        <v>80100</v>
      </c>
      <c r="F16" s="81">
        <v>240474</v>
      </c>
      <c r="G16" s="80">
        <v>5</v>
      </c>
      <c r="H16" s="80">
        <v>0</v>
      </c>
      <c r="I16" s="81">
        <f>F16*G16*($H$76-H16)/(36500)</f>
        <v>724.71616438356159</v>
      </c>
      <c r="J16" s="80">
        <v>7.2499999999999995E-2</v>
      </c>
      <c r="K16" s="81">
        <f t="shared" si="2"/>
        <v>174.2175</v>
      </c>
      <c r="L16" s="80"/>
      <c r="M16" s="82"/>
      <c r="N16" s="80"/>
      <c r="O16" s="80"/>
      <c r="P16" s="82"/>
      <c r="Q16" s="82"/>
      <c r="R16" s="80"/>
      <c r="S16" s="80"/>
    </row>
    <row r="17" spans="1:19" x14ac:dyDescent="0.25">
      <c r="A17" s="80" t="s">
        <v>1069</v>
      </c>
      <c r="B17" s="80" t="s">
        <v>966</v>
      </c>
      <c r="C17" s="80">
        <v>3</v>
      </c>
      <c r="D17" s="80" t="s">
        <v>978</v>
      </c>
      <c r="E17" s="81">
        <v>81000</v>
      </c>
      <c r="F17" s="81">
        <v>243596</v>
      </c>
      <c r="G17" s="80">
        <v>0</v>
      </c>
      <c r="H17" s="80">
        <v>0</v>
      </c>
      <c r="I17" s="81"/>
      <c r="J17" s="80">
        <v>7.2499999999999995E-2</v>
      </c>
      <c r="K17" s="81">
        <f t="shared" si="2"/>
        <v>176.17500000000001</v>
      </c>
      <c r="L17" s="80"/>
      <c r="M17" s="82">
        <f>F17-F16</f>
        <v>3122</v>
      </c>
      <c r="N17" s="80">
        <v>1.5</v>
      </c>
      <c r="O17" s="80">
        <v>1.5</v>
      </c>
      <c r="P17" s="82">
        <f>M17*N17/C16</f>
        <v>1561</v>
      </c>
      <c r="Q17" s="82">
        <f>M17*O17/C16</f>
        <v>1561</v>
      </c>
      <c r="R17" s="80"/>
      <c r="S17" s="80"/>
    </row>
    <row r="18" spans="1:19" x14ac:dyDescent="0.25">
      <c r="A18" s="77"/>
      <c r="B18" s="77"/>
      <c r="C18" s="77"/>
      <c r="D18" s="77"/>
      <c r="E18" s="78"/>
      <c r="F18" s="78"/>
      <c r="G18" s="77"/>
      <c r="H18" s="77"/>
      <c r="I18" s="78"/>
      <c r="J18" s="77"/>
      <c r="K18" s="78"/>
      <c r="L18" s="77"/>
      <c r="M18" s="79"/>
      <c r="N18" s="77"/>
      <c r="O18" s="77"/>
      <c r="P18" s="79"/>
      <c r="Q18" s="79"/>
      <c r="R18" s="77"/>
      <c r="S18" s="77"/>
    </row>
    <row r="19" spans="1:19" x14ac:dyDescent="0.25">
      <c r="A19" s="77"/>
      <c r="B19" s="77"/>
      <c r="C19" s="77"/>
      <c r="D19" s="77"/>
      <c r="E19" s="78"/>
      <c r="F19" s="78"/>
      <c r="G19" s="77"/>
      <c r="H19" s="77"/>
      <c r="I19" s="78"/>
      <c r="J19" s="77"/>
      <c r="K19" s="78"/>
      <c r="L19" s="77"/>
      <c r="M19" s="79"/>
      <c r="N19" s="77"/>
      <c r="O19" s="77"/>
      <c r="P19" s="79"/>
      <c r="Q19" s="79"/>
      <c r="R19" s="77"/>
      <c r="S19" s="77"/>
    </row>
    <row r="20" spans="1:19" x14ac:dyDescent="0.25">
      <c r="A20" s="80"/>
      <c r="B20" s="80"/>
      <c r="C20" s="80"/>
      <c r="D20" s="80"/>
      <c r="E20" s="81"/>
      <c r="F20" s="81"/>
      <c r="G20" s="80"/>
      <c r="H20" s="80"/>
      <c r="I20" s="81"/>
      <c r="J20" s="80"/>
      <c r="K20" s="81"/>
      <c r="L20" s="80"/>
      <c r="M20" s="82"/>
      <c r="N20" s="80"/>
      <c r="O20" s="80"/>
      <c r="P20" s="82"/>
      <c r="Q20" s="82"/>
      <c r="R20" s="80"/>
      <c r="S20" s="80"/>
    </row>
    <row r="21" spans="1:19" x14ac:dyDescent="0.25">
      <c r="A21" s="80"/>
      <c r="B21" s="80"/>
      <c r="C21" s="80"/>
      <c r="D21" s="80"/>
      <c r="E21" s="81"/>
      <c r="F21" s="81"/>
      <c r="G21" s="80"/>
      <c r="H21" s="80"/>
      <c r="I21" s="81"/>
      <c r="J21" s="80"/>
      <c r="K21" s="81"/>
      <c r="L21" s="80"/>
      <c r="M21" s="82"/>
      <c r="N21" s="80"/>
      <c r="O21" s="80"/>
      <c r="P21" s="82"/>
      <c r="Q21" s="82"/>
      <c r="R21" s="80"/>
      <c r="S21" s="80"/>
    </row>
    <row r="22" spans="1:19" x14ac:dyDescent="0.25">
      <c r="A22" s="77"/>
      <c r="B22" s="77"/>
      <c r="C22" s="77"/>
      <c r="D22" s="77"/>
      <c r="E22" s="78"/>
      <c r="F22" s="78"/>
      <c r="G22" s="77"/>
      <c r="H22" s="77"/>
      <c r="I22" s="78"/>
      <c r="J22" s="77"/>
      <c r="K22" s="78"/>
      <c r="L22" s="77"/>
      <c r="M22" s="79"/>
      <c r="N22" s="77"/>
      <c r="O22" s="77"/>
      <c r="P22" s="79"/>
      <c r="Q22" s="79"/>
      <c r="R22" s="77"/>
      <c r="S22" s="77"/>
    </row>
    <row r="23" spans="1:19" x14ac:dyDescent="0.25">
      <c r="A23" s="77"/>
      <c r="B23" s="77"/>
      <c r="C23" s="77"/>
      <c r="D23" s="77"/>
      <c r="E23" s="78"/>
      <c r="F23" s="78"/>
      <c r="G23" s="77"/>
      <c r="H23" s="77"/>
      <c r="I23" s="78"/>
      <c r="J23" s="77"/>
      <c r="K23" s="78"/>
      <c r="L23" s="77"/>
      <c r="M23" s="79"/>
      <c r="N23" s="77"/>
      <c r="O23" s="77"/>
      <c r="P23" s="79"/>
      <c r="Q23" s="79"/>
      <c r="R23" s="77"/>
      <c r="S23" s="77"/>
    </row>
    <row r="24" spans="1:19" x14ac:dyDescent="0.25">
      <c r="A24" s="80"/>
      <c r="B24" s="80"/>
      <c r="C24" s="80"/>
      <c r="D24" s="80"/>
      <c r="E24" s="81"/>
      <c r="F24" s="81"/>
      <c r="G24" s="80"/>
      <c r="H24" s="80"/>
      <c r="I24" s="81"/>
      <c r="J24" s="80"/>
      <c r="K24" s="81"/>
      <c r="L24" s="80"/>
      <c r="M24" s="82"/>
      <c r="N24" s="80"/>
      <c r="O24" s="80"/>
      <c r="P24" s="82"/>
      <c r="Q24" s="82"/>
      <c r="R24" s="80"/>
      <c r="S24" s="80"/>
    </row>
    <row r="25" spans="1:19" x14ac:dyDescent="0.25">
      <c r="A25" s="80"/>
      <c r="B25" s="80"/>
      <c r="C25" s="80"/>
      <c r="D25" s="80"/>
      <c r="E25" s="81"/>
      <c r="F25" s="81"/>
      <c r="G25" s="80"/>
      <c r="H25" s="80"/>
      <c r="I25" s="81"/>
      <c r="J25" s="80"/>
      <c r="K25" s="81"/>
      <c r="L25" s="80"/>
      <c r="M25" s="82"/>
      <c r="N25" s="80"/>
      <c r="O25" s="80"/>
      <c r="P25" s="82"/>
      <c r="Q25" s="82"/>
      <c r="R25" s="80"/>
      <c r="S25" s="80"/>
    </row>
    <row r="26" spans="1:19" x14ac:dyDescent="0.25">
      <c r="A26" s="77"/>
      <c r="B26" s="77"/>
      <c r="C26" s="77"/>
      <c r="D26" s="77"/>
      <c r="E26" s="78"/>
      <c r="F26" s="78"/>
      <c r="G26" s="77"/>
      <c r="H26" s="77"/>
      <c r="I26" s="78"/>
      <c r="J26" s="77"/>
      <c r="K26" s="78"/>
      <c r="L26" s="77"/>
      <c r="M26" s="79"/>
      <c r="N26" s="77"/>
      <c r="O26" s="77"/>
      <c r="P26" s="79"/>
      <c r="Q26" s="79"/>
      <c r="R26" s="77"/>
      <c r="S26" s="77"/>
    </row>
    <row r="27" spans="1:19" x14ac:dyDescent="0.25">
      <c r="A27" s="77"/>
      <c r="B27" s="77"/>
      <c r="C27" s="77"/>
      <c r="D27" s="77"/>
      <c r="E27" s="78"/>
      <c r="F27" s="78"/>
      <c r="G27" s="77"/>
      <c r="H27" s="77"/>
      <c r="I27" s="78"/>
      <c r="J27" s="77"/>
      <c r="K27" s="78"/>
      <c r="L27" s="77"/>
      <c r="M27" s="79"/>
      <c r="N27" s="77"/>
      <c r="O27" s="77"/>
      <c r="P27" s="79"/>
      <c r="Q27" s="79"/>
      <c r="R27" s="77"/>
      <c r="S27" s="77"/>
    </row>
    <row r="28" spans="1:19" x14ac:dyDescent="0.25">
      <c r="A28" s="80"/>
      <c r="B28" s="80"/>
      <c r="C28" s="80"/>
      <c r="D28" s="80"/>
      <c r="E28" s="81"/>
      <c r="F28" s="81"/>
      <c r="G28" s="80"/>
      <c r="H28" s="80"/>
      <c r="I28" s="81"/>
      <c r="J28" s="80"/>
      <c r="K28" s="81"/>
      <c r="L28" s="80"/>
      <c r="M28" s="82"/>
      <c r="N28" s="80"/>
      <c r="O28" s="80"/>
      <c r="P28" s="82"/>
      <c r="Q28" s="82"/>
      <c r="R28" s="80"/>
      <c r="S28" s="80"/>
    </row>
    <row r="29" spans="1:19" x14ac:dyDescent="0.25">
      <c r="A29" s="80"/>
      <c r="B29" s="80"/>
      <c r="C29" s="80"/>
      <c r="D29" s="80"/>
      <c r="E29" s="81"/>
      <c r="F29" s="81"/>
      <c r="G29" s="80"/>
      <c r="H29" s="80"/>
      <c r="I29" s="81"/>
      <c r="J29" s="80"/>
      <c r="K29" s="81"/>
      <c r="L29" s="80"/>
      <c r="M29" s="82"/>
      <c r="N29" s="80"/>
      <c r="O29" s="80"/>
      <c r="P29" s="82"/>
      <c r="Q29" s="82"/>
      <c r="R29" s="80"/>
      <c r="S29" s="80"/>
    </row>
    <row r="30" spans="1:19" x14ac:dyDescent="0.25">
      <c r="A30" s="77"/>
      <c r="B30" s="77"/>
      <c r="C30" s="77"/>
      <c r="D30" s="77"/>
      <c r="E30" s="78"/>
      <c r="F30" s="78"/>
      <c r="G30" s="77"/>
      <c r="H30" s="77"/>
      <c r="I30" s="78"/>
      <c r="J30" s="77"/>
      <c r="K30" s="78"/>
      <c r="L30" s="77"/>
      <c r="M30" s="79"/>
      <c r="N30" s="77"/>
      <c r="O30" s="77"/>
      <c r="P30" s="79"/>
      <c r="Q30" s="79"/>
      <c r="R30" s="77"/>
      <c r="S30" s="77"/>
    </row>
    <row r="31" spans="1:19" x14ac:dyDescent="0.25">
      <c r="A31" s="77"/>
      <c r="B31" s="77"/>
      <c r="C31" s="77"/>
      <c r="D31" s="77"/>
      <c r="E31" s="78"/>
      <c r="F31" s="78"/>
      <c r="G31" s="77"/>
      <c r="H31" s="77"/>
      <c r="I31" s="78"/>
      <c r="J31" s="77"/>
      <c r="K31" s="78"/>
      <c r="L31" s="77"/>
      <c r="M31" s="79"/>
      <c r="N31" s="77"/>
      <c r="O31" s="77"/>
      <c r="P31" s="79"/>
      <c r="Q31" s="79"/>
      <c r="R31" s="77"/>
      <c r="S31" s="77"/>
    </row>
    <row r="32" spans="1:19" x14ac:dyDescent="0.25">
      <c r="A32" s="16" t="s">
        <v>952</v>
      </c>
      <c r="B32" s="16" t="s">
        <v>966</v>
      </c>
      <c r="C32" s="16">
        <v>497</v>
      </c>
      <c r="D32" s="16" t="s">
        <v>61</v>
      </c>
      <c r="E32" s="14">
        <v>80100</v>
      </c>
      <c r="F32" s="14">
        <v>39838611</v>
      </c>
      <c r="G32" s="16">
        <v>6</v>
      </c>
      <c r="H32" s="16">
        <v>0</v>
      </c>
      <c r="I32" s="14">
        <f t="shared" ref="I32:I39" si="5">F32*G32*($H$76-H32)/(36500)</f>
        <v>144073.88087671233</v>
      </c>
      <c r="J32" s="16">
        <v>7.2499999999999995E-2</v>
      </c>
      <c r="K32" s="14">
        <f>C32*E32*J32/100</f>
        <v>28862.032500000001</v>
      </c>
      <c r="L32" s="16">
        <f>(E32*(1+J32/100)+I32/C32)/(1-J33/100)</f>
        <v>80506.326671095536</v>
      </c>
      <c r="M32" s="16"/>
      <c r="N32" s="16"/>
      <c r="O32" s="16"/>
      <c r="P32" s="16"/>
      <c r="Q32" s="16"/>
      <c r="R32" s="16"/>
      <c r="S32" s="14">
        <v>81000</v>
      </c>
    </row>
    <row r="33" spans="1:19" x14ac:dyDescent="0.25">
      <c r="A33" s="16"/>
      <c r="B33" s="16"/>
      <c r="C33" s="16"/>
      <c r="D33" s="16"/>
      <c r="E33" s="14">
        <v>0</v>
      </c>
      <c r="F33" s="14">
        <v>0</v>
      </c>
      <c r="G33" s="16"/>
      <c r="H33" s="16"/>
      <c r="I33" s="14">
        <f t="shared" si="5"/>
        <v>0</v>
      </c>
      <c r="J33" s="16">
        <v>7.2499999999999995E-2</v>
      </c>
      <c r="K33" s="14"/>
      <c r="L33" s="16">
        <v>0</v>
      </c>
      <c r="M33" s="16">
        <v>0</v>
      </c>
      <c r="N33" s="16">
        <v>248.5</v>
      </c>
      <c r="O33" s="16">
        <f>C32-N33</f>
        <v>248.5</v>
      </c>
      <c r="P33" s="16">
        <f>M33*N33/C32</f>
        <v>0</v>
      </c>
      <c r="Q33" s="16">
        <f>M33*O33/C32</f>
        <v>0</v>
      </c>
      <c r="R33" s="16"/>
      <c r="S33" s="16"/>
    </row>
    <row r="34" spans="1:19" x14ac:dyDescent="0.25">
      <c r="A34" s="84" t="s">
        <v>962</v>
      </c>
      <c r="B34" s="84" t="s">
        <v>983</v>
      </c>
      <c r="C34" s="84">
        <v>100</v>
      </c>
      <c r="D34" s="84" t="s">
        <v>61</v>
      </c>
      <c r="E34" s="85">
        <v>97219</v>
      </c>
      <c r="F34" s="85">
        <v>9734617</v>
      </c>
      <c r="G34" s="84">
        <v>5</v>
      </c>
      <c r="H34" s="84">
        <v>21</v>
      </c>
      <c r="I34" s="85">
        <f t="shared" si="5"/>
        <v>1333.5091780821917</v>
      </c>
      <c r="J34" s="84">
        <v>7.2499999999999995E-2</v>
      </c>
      <c r="K34" s="85"/>
      <c r="L34" s="84">
        <f t="shared" ref="L34" si="6">(E34*(1+J34/100)+I34/C34)/(1-J35/100)</f>
        <v>97373.414592360306</v>
      </c>
      <c r="M34" s="84"/>
      <c r="N34" s="84"/>
      <c r="O34" s="84"/>
      <c r="P34" s="84"/>
      <c r="Q34" s="84"/>
      <c r="R34" s="84"/>
      <c r="S34" s="85">
        <v>98000</v>
      </c>
    </row>
    <row r="35" spans="1:19" x14ac:dyDescent="0.25">
      <c r="A35" s="84"/>
      <c r="B35" s="84"/>
      <c r="C35" s="84"/>
      <c r="D35" s="84"/>
      <c r="E35" s="85"/>
      <c r="F35" s="85"/>
      <c r="G35" s="84"/>
      <c r="H35" s="84"/>
      <c r="I35" s="85">
        <f t="shared" si="5"/>
        <v>0</v>
      </c>
      <c r="J35" s="84">
        <v>7.2499999999999995E-2</v>
      </c>
      <c r="K35" s="85">
        <f t="shared" ref="K35" si="7">C35*E35*J35/100</f>
        <v>0</v>
      </c>
      <c r="L35" s="84">
        <v>0</v>
      </c>
      <c r="M35" s="84"/>
      <c r="N35" s="84">
        <v>100</v>
      </c>
      <c r="O35" s="84">
        <f>C34-N35</f>
        <v>0</v>
      </c>
      <c r="P35" s="84">
        <f>M35*N35/C34</f>
        <v>0</v>
      </c>
      <c r="Q35" s="84">
        <f>M35*O35/C34</f>
        <v>0</v>
      </c>
      <c r="R35" s="84"/>
      <c r="S35" s="84"/>
    </row>
    <row r="36" spans="1:19" x14ac:dyDescent="0.25">
      <c r="A36" s="16" t="s">
        <v>960</v>
      </c>
      <c r="B36" s="16" t="s">
        <v>991</v>
      </c>
      <c r="C36" s="16">
        <v>400</v>
      </c>
      <c r="D36" s="16" t="s">
        <v>61</v>
      </c>
      <c r="E36" s="14">
        <v>97875</v>
      </c>
      <c r="F36" s="14">
        <v>40842466</v>
      </c>
      <c r="G36" s="16">
        <v>2</v>
      </c>
      <c r="H36" s="16">
        <v>21</v>
      </c>
      <c r="I36" s="14">
        <f t="shared" si="5"/>
        <v>2237.9433424657536</v>
      </c>
      <c r="J36" s="16">
        <v>7.2499999999999995E-2</v>
      </c>
      <c r="K36" s="14">
        <f>C36*E36*J36/100</f>
        <v>28383.75</v>
      </c>
      <c r="L36" s="16">
        <f>(E36*(1+J36/100)+I36/C36)/(1-J37/100)</f>
        <v>98022.620633315324</v>
      </c>
      <c r="M36" s="16"/>
      <c r="N36" s="16"/>
      <c r="O36" s="16"/>
      <c r="P36" s="16"/>
      <c r="Q36" s="16"/>
      <c r="R36" s="16" t="s">
        <v>1077</v>
      </c>
      <c r="S36" s="14">
        <v>98000</v>
      </c>
    </row>
    <row r="37" spans="1:19" x14ac:dyDescent="0.25">
      <c r="A37" s="16"/>
      <c r="B37" s="16"/>
      <c r="C37" s="16"/>
      <c r="D37" s="16"/>
      <c r="E37" s="14"/>
      <c r="F37" s="14"/>
      <c r="G37" s="16"/>
      <c r="H37" s="16"/>
      <c r="I37" s="14">
        <f t="shared" si="5"/>
        <v>0</v>
      </c>
      <c r="J37" s="16">
        <v>7.2499999999999995E-2</v>
      </c>
      <c r="K37" s="16"/>
      <c r="L37" s="16">
        <v>0</v>
      </c>
      <c r="M37" s="16"/>
      <c r="N37" s="16">
        <v>200</v>
      </c>
      <c r="O37" s="16">
        <f>C36-N37</f>
        <v>200</v>
      </c>
      <c r="P37" s="16">
        <f>M37*N37/C36</f>
        <v>0</v>
      </c>
      <c r="Q37" s="16">
        <f>M37*O37/C36</f>
        <v>0</v>
      </c>
      <c r="R37" s="16"/>
      <c r="S37" s="16"/>
    </row>
    <row r="38" spans="1:19" x14ac:dyDescent="0.25">
      <c r="A38" s="16" t="s">
        <v>960</v>
      </c>
      <c r="B38" s="16" t="s">
        <v>975</v>
      </c>
      <c r="C38" s="16">
        <v>700</v>
      </c>
      <c r="D38" s="16" t="s">
        <v>61</v>
      </c>
      <c r="E38" s="14">
        <v>97328</v>
      </c>
      <c r="F38" s="14">
        <v>69147478</v>
      </c>
      <c r="G38" s="16">
        <v>2</v>
      </c>
      <c r="H38" s="16">
        <v>21</v>
      </c>
      <c r="I38" s="14">
        <f t="shared" si="5"/>
        <v>3788.9029041095891</v>
      </c>
      <c r="J38" s="16">
        <v>7.2499999999999995E-2</v>
      </c>
      <c r="K38" s="16">
        <f>C38*E38*J38/100</f>
        <v>49393.96</v>
      </c>
      <c r="L38" s="16">
        <f>(E38*(1+J38/100)+I38/C38)/(1-J39/100)</f>
        <v>97474.644635795397</v>
      </c>
      <c r="M38" s="16"/>
      <c r="N38" s="16"/>
      <c r="O38" s="16"/>
      <c r="P38" s="16"/>
      <c r="Q38" s="16"/>
      <c r="R38" s="16" t="s">
        <v>1078</v>
      </c>
      <c r="S38" s="14">
        <v>98000</v>
      </c>
    </row>
    <row r="39" spans="1:19" x14ac:dyDescent="0.25">
      <c r="A39" s="16"/>
      <c r="B39" s="16"/>
      <c r="C39" s="16"/>
      <c r="D39" s="16"/>
      <c r="E39" s="14"/>
      <c r="F39" s="14"/>
      <c r="G39" s="16"/>
      <c r="H39" s="16"/>
      <c r="I39" s="14">
        <f t="shared" si="5"/>
        <v>0</v>
      </c>
      <c r="J39" s="16">
        <v>7.2499999999999995E-2</v>
      </c>
      <c r="K39" s="16"/>
      <c r="L39" s="16">
        <v>0</v>
      </c>
      <c r="M39" s="16"/>
      <c r="N39" s="16">
        <v>350</v>
      </c>
      <c r="O39" s="16">
        <f>C38-N39</f>
        <v>350</v>
      </c>
      <c r="P39" s="16">
        <f>M39*N39/C38</f>
        <v>0</v>
      </c>
      <c r="Q39" s="16">
        <f>M39*O39/C38</f>
        <v>0</v>
      </c>
      <c r="R39" s="16"/>
      <c r="S39" s="16"/>
    </row>
    <row r="40" spans="1:19" x14ac:dyDescent="0.25">
      <c r="A40" s="84"/>
      <c r="B40" s="84"/>
      <c r="C40" s="84"/>
      <c r="D40" s="84"/>
      <c r="E40" s="85"/>
      <c r="F40" s="85"/>
      <c r="G40" s="84"/>
      <c r="H40" s="84"/>
      <c r="I40" s="85"/>
      <c r="J40" s="84"/>
      <c r="K40" s="84"/>
      <c r="L40" s="84"/>
      <c r="M40" s="84"/>
      <c r="N40" s="84"/>
      <c r="O40" s="84"/>
      <c r="P40" s="84"/>
      <c r="Q40" s="84"/>
      <c r="R40" s="84"/>
      <c r="S40" s="85"/>
    </row>
    <row r="41" spans="1:19" x14ac:dyDescent="0.25">
      <c r="A41" s="84"/>
      <c r="B41" s="84"/>
      <c r="C41" s="84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4"/>
      <c r="Q41" s="84"/>
      <c r="R41" s="84"/>
      <c r="S41" s="84"/>
    </row>
    <row r="42" spans="1:19" x14ac:dyDescent="0.25">
      <c r="A42" s="16"/>
      <c r="B42" s="16"/>
      <c r="C42" s="16"/>
      <c r="D42" s="16"/>
      <c r="E42" s="14"/>
      <c r="F42" s="14"/>
      <c r="G42" s="16"/>
      <c r="H42" s="16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6"/>
      <c r="B43" s="16"/>
      <c r="C43" s="16"/>
      <c r="D43" s="16"/>
      <c r="E43" s="16"/>
      <c r="F43" s="14"/>
      <c r="G43" s="16"/>
      <c r="H43" s="16"/>
      <c r="I43" s="14"/>
      <c r="J43" s="16"/>
      <c r="K43" s="16"/>
      <c r="L43" s="16"/>
      <c r="M43" s="14"/>
      <c r="N43" s="16"/>
      <c r="O43" s="16"/>
      <c r="P43" s="14"/>
      <c r="Q43" s="14"/>
      <c r="R43" s="16"/>
      <c r="S43" s="16"/>
    </row>
    <row r="44" spans="1:19" x14ac:dyDescent="0.25">
      <c r="A44" s="84"/>
      <c r="B44" s="84"/>
      <c r="C44" s="84"/>
      <c r="D44" s="84"/>
      <c r="E44" s="84"/>
      <c r="F44" s="84"/>
      <c r="G44" s="84"/>
      <c r="H44" s="84"/>
      <c r="I44" s="85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 spans="1:19" x14ac:dyDescent="0.25">
      <c r="A45" s="84"/>
      <c r="B45" s="84"/>
      <c r="C45" s="84"/>
      <c r="D45" s="84"/>
      <c r="E45" s="84"/>
      <c r="F45" s="84"/>
      <c r="G45" s="84"/>
      <c r="H45" s="84"/>
      <c r="I45" s="85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1:19" x14ac:dyDescent="0.25">
      <c r="A46" s="16"/>
      <c r="B46" s="16"/>
      <c r="C46" s="16"/>
      <c r="D46" s="16"/>
      <c r="E46" s="16"/>
      <c r="F46" s="16"/>
      <c r="G46" s="16"/>
      <c r="H46" s="16"/>
      <c r="I46" s="14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6"/>
      <c r="C47" s="16"/>
      <c r="D47" s="16"/>
      <c r="E47" s="16"/>
      <c r="F47" s="16"/>
      <c r="G47" s="16"/>
      <c r="H47" s="16"/>
      <c r="I47" s="14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84"/>
      <c r="B48" s="84"/>
      <c r="C48" s="84"/>
      <c r="D48" s="84"/>
      <c r="E48" s="84"/>
      <c r="F48" s="84"/>
      <c r="G48" s="84"/>
      <c r="H48" s="84"/>
      <c r="I48" s="85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 spans="1:19" x14ac:dyDescent="0.25">
      <c r="A49" s="84"/>
      <c r="B49" s="84"/>
      <c r="C49" s="84"/>
      <c r="D49" s="84"/>
      <c r="E49" s="84"/>
      <c r="F49" s="84"/>
      <c r="G49" s="84"/>
      <c r="H49" s="84"/>
      <c r="I49" s="85"/>
      <c r="J49" s="84"/>
      <c r="K49" s="84"/>
      <c r="L49" s="84"/>
      <c r="M49" s="84"/>
      <c r="N49" s="84"/>
      <c r="O49" s="84"/>
      <c r="P49" s="84"/>
      <c r="Q49" s="84"/>
      <c r="R49" s="84"/>
      <c r="S49" s="84"/>
    </row>
    <row r="50" spans="1:19" x14ac:dyDescent="0.25">
      <c r="A50" s="84"/>
      <c r="B50" s="84"/>
      <c r="C50" s="84"/>
      <c r="D50" s="84"/>
      <c r="E50" s="84"/>
      <c r="F50" s="84"/>
      <c r="G50" s="84"/>
      <c r="H50" s="84"/>
      <c r="I50" s="85" t="s">
        <v>25</v>
      </c>
      <c r="J50" s="84"/>
      <c r="K50" s="84"/>
      <c r="L50" s="84"/>
      <c r="M50" s="84"/>
      <c r="N50" s="84"/>
      <c r="O50" s="84"/>
      <c r="P50" s="84"/>
      <c r="Q50" s="84"/>
      <c r="R50" s="84"/>
      <c r="S50" s="84"/>
    </row>
    <row r="51" spans="1:19" x14ac:dyDescent="0.25">
      <c r="A51" s="84"/>
      <c r="B51" s="84"/>
      <c r="C51" s="84"/>
      <c r="D51" s="84"/>
      <c r="E51" s="84"/>
      <c r="F51" s="84"/>
      <c r="G51" s="84"/>
      <c r="H51" s="84"/>
      <c r="I51" s="85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19" x14ac:dyDescent="0.25">
      <c r="A52" s="84"/>
      <c r="B52" s="84"/>
      <c r="C52" s="84"/>
      <c r="D52" s="84"/>
      <c r="E52" s="84"/>
      <c r="F52" s="84"/>
      <c r="G52" s="84"/>
      <c r="H52" s="84"/>
      <c r="I52" s="85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 spans="1:19" x14ac:dyDescent="0.25">
      <c r="A53" s="84"/>
      <c r="B53" s="84"/>
      <c r="C53" s="84"/>
      <c r="D53" s="84"/>
      <c r="E53" s="84"/>
      <c r="F53" s="84"/>
      <c r="G53" s="84"/>
      <c r="H53" s="84"/>
      <c r="I53" s="85"/>
      <c r="J53" s="84"/>
      <c r="K53" s="84"/>
      <c r="L53" s="84"/>
      <c r="M53" s="84"/>
      <c r="N53" s="84"/>
      <c r="O53" s="84"/>
      <c r="P53" s="84"/>
      <c r="Q53" s="84"/>
      <c r="R53" s="84"/>
      <c r="S53" s="84"/>
    </row>
    <row r="54" spans="1:1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83"/>
      <c r="O54" s="83"/>
      <c r="P54" s="11"/>
      <c r="Q54" s="11"/>
      <c r="R54" s="11"/>
      <c r="S54" s="11"/>
    </row>
    <row r="55" spans="1:1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>
        <f>SUM(M2:M53)</f>
        <v>1796969</v>
      </c>
      <c r="N55" s="11"/>
      <c r="O55" s="11"/>
      <c r="P55" s="3">
        <f>SUM(P2:P54)</f>
        <v>1599126.5</v>
      </c>
      <c r="Q55" s="3">
        <f>SUM(Q3:Q54)</f>
        <v>197842.5</v>
      </c>
      <c r="R55" s="11"/>
      <c r="S55" s="11"/>
    </row>
    <row r="56" spans="1:19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 t="s">
        <v>191</v>
      </c>
      <c r="N56" s="11"/>
      <c r="O56" s="11"/>
      <c r="P56" s="11" t="s">
        <v>1067</v>
      </c>
      <c r="Q56" s="11" t="s">
        <v>1068</v>
      </c>
      <c r="R56" s="11"/>
      <c r="S56" s="11"/>
    </row>
    <row r="58" spans="1:19" x14ac:dyDescent="0.25">
      <c r="B58" s="11" t="s">
        <v>987</v>
      </c>
      <c r="C58" s="11" t="s">
        <v>182</v>
      </c>
    </row>
    <row r="59" spans="1:19" x14ac:dyDescent="0.25">
      <c r="B59" s="11" t="s">
        <v>988</v>
      </c>
      <c r="C59" s="3">
        <v>10833789</v>
      </c>
      <c r="F59" s="7"/>
    </row>
    <row r="60" spans="1:19" x14ac:dyDescent="0.25">
      <c r="B60" s="11" t="s">
        <v>966</v>
      </c>
      <c r="C60" s="3">
        <f>C32*S32*(1-J33/100)</f>
        <v>40227813.675000004</v>
      </c>
    </row>
    <row r="61" spans="1:19" x14ac:dyDescent="0.25">
      <c r="B61" s="11" t="s">
        <v>989</v>
      </c>
      <c r="C61" s="3">
        <f>C34*S34*(1-J35/100)</f>
        <v>9792895</v>
      </c>
    </row>
    <row r="62" spans="1:19" x14ac:dyDescent="0.25">
      <c r="B62" s="11" t="s">
        <v>991</v>
      </c>
      <c r="C62" s="3">
        <f>C36*S36*(1-J37/100)</f>
        <v>39171580</v>
      </c>
      <c r="E62" t="s">
        <v>25</v>
      </c>
    </row>
    <row r="63" spans="1:19" x14ac:dyDescent="0.25">
      <c r="B63" s="11" t="s">
        <v>975</v>
      </c>
      <c r="C63" s="3">
        <f>C38*S38*(1-J39/100)</f>
        <v>68550265</v>
      </c>
    </row>
    <row r="64" spans="1:19" x14ac:dyDescent="0.25">
      <c r="B64" s="11" t="s">
        <v>1055</v>
      </c>
      <c r="C64" s="3">
        <v>1664082</v>
      </c>
    </row>
    <row r="65" spans="1:14" x14ac:dyDescent="0.25">
      <c r="B65" s="11" t="s">
        <v>1056</v>
      </c>
      <c r="C65" s="3">
        <v>968084</v>
      </c>
    </row>
    <row r="66" spans="1:14" x14ac:dyDescent="0.25">
      <c r="B66" s="11"/>
      <c r="C66" s="11"/>
    </row>
    <row r="67" spans="1:14" x14ac:dyDescent="0.25">
      <c r="B67" s="11"/>
      <c r="C67" s="11"/>
    </row>
    <row r="68" spans="1:14" x14ac:dyDescent="0.25">
      <c r="B68" s="11"/>
      <c r="C68" s="11"/>
    </row>
    <row r="69" spans="1:14" x14ac:dyDescent="0.25">
      <c r="B69" s="11" t="s">
        <v>6</v>
      </c>
      <c r="C69" s="29">
        <f>SUM(C59:C68)</f>
        <v>171208508.67500001</v>
      </c>
    </row>
    <row r="70" spans="1:14" x14ac:dyDescent="0.25">
      <c r="B70" s="11"/>
      <c r="C70" s="11"/>
      <c r="D70" t="s">
        <v>25</v>
      </c>
    </row>
    <row r="71" spans="1:14" x14ac:dyDescent="0.25">
      <c r="B71" s="11" t="s">
        <v>982</v>
      </c>
      <c r="C71" s="29">
        <f>C69-M86</f>
        <v>2211845.6613013744</v>
      </c>
      <c r="G71" s="25"/>
    </row>
    <row r="72" spans="1:14" x14ac:dyDescent="0.25">
      <c r="I72" s="25"/>
    </row>
    <row r="73" spans="1:14" x14ac:dyDescent="0.25">
      <c r="I73" s="25"/>
    </row>
    <row r="74" spans="1:14" x14ac:dyDescent="0.25">
      <c r="I74" s="28"/>
    </row>
    <row r="75" spans="1:14" x14ac:dyDescent="0.25">
      <c r="H75" s="11" t="s">
        <v>984</v>
      </c>
      <c r="I75" s="25"/>
    </row>
    <row r="76" spans="1:14" x14ac:dyDescent="0.25">
      <c r="H76" s="11">
        <v>22</v>
      </c>
      <c r="I76" s="25"/>
    </row>
    <row r="77" spans="1:14" x14ac:dyDescent="0.25">
      <c r="A77" s="11" t="s">
        <v>180</v>
      </c>
      <c r="B77" s="11" t="s">
        <v>970</v>
      </c>
      <c r="C77" s="11" t="s">
        <v>267</v>
      </c>
      <c r="D77" s="11" t="s">
        <v>8</v>
      </c>
      <c r="E77" s="11" t="s">
        <v>5</v>
      </c>
      <c r="F77" s="11" t="s">
        <v>484</v>
      </c>
      <c r="G77" s="11" t="s">
        <v>183</v>
      </c>
      <c r="H77" s="11" t="s">
        <v>971</v>
      </c>
      <c r="I77" s="11" t="s">
        <v>1072</v>
      </c>
      <c r="J77" s="11" t="s">
        <v>1073</v>
      </c>
      <c r="K77" s="11" t="s">
        <v>1074</v>
      </c>
      <c r="L77" s="11" t="s">
        <v>1075</v>
      </c>
      <c r="M77" s="11" t="s">
        <v>972</v>
      </c>
      <c r="N77" s="25"/>
    </row>
    <row r="78" spans="1:14" x14ac:dyDescent="0.25">
      <c r="A78" s="11" t="s">
        <v>952</v>
      </c>
      <c r="B78" s="11" t="s">
        <v>963</v>
      </c>
      <c r="C78" s="3">
        <v>80500000</v>
      </c>
      <c r="D78" s="11" t="s">
        <v>676</v>
      </c>
      <c r="E78" s="3">
        <v>80500000</v>
      </c>
      <c r="F78" s="29">
        <f>C78-E78</f>
        <v>0</v>
      </c>
      <c r="G78" s="11">
        <v>6</v>
      </c>
      <c r="H78" s="3">
        <f t="shared" ref="H78:H84" si="8">C78*G78*$H$76/(365*100)</f>
        <v>291123.28767123289</v>
      </c>
      <c r="I78" s="3">
        <f>H78</f>
        <v>291123.28767123289</v>
      </c>
      <c r="J78" s="3">
        <v>0</v>
      </c>
      <c r="K78" s="3">
        <f>E78+I78</f>
        <v>80791123.287671238</v>
      </c>
      <c r="L78" s="3">
        <f>F78+J78</f>
        <v>0</v>
      </c>
      <c r="M78" s="29">
        <f t="shared" ref="M78:M83" si="9">C78+H78</f>
        <v>80791123.287671238</v>
      </c>
      <c r="N78" s="25"/>
    </row>
    <row r="79" spans="1:14" x14ac:dyDescent="0.25">
      <c r="A79" s="84" t="s">
        <v>960</v>
      </c>
      <c r="B79" s="84" t="s">
        <v>963</v>
      </c>
      <c r="C79" s="85">
        <v>87000000</v>
      </c>
      <c r="D79" s="84" t="s">
        <v>1053</v>
      </c>
      <c r="E79" s="84">
        <v>0</v>
      </c>
      <c r="F79" s="86">
        <f t="shared" ref="F79:F82" si="10">C79-E79</f>
        <v>87000000</v>
      </c>
      <c r="G79" s="84">
        <f>G78-4</f>
        <v>2</v>
      </c>
      <c r="H79" s="85">
        <f t="shared" si="8"/>
        <v>104876.71232876713</v>
      </c>
      <c r="I79" s="85">
        <v>0</v>
      </c>
      <c r="J79" s="85">
        <f>H79</f>
        <v>104876.71232876713</v>
      </c>
      <c r="K79" s="3">
        <f t="shared" ref="K79:K85" si="11">E79+I79</f>
        <v>0</v>
      </c>
      <c r="L79" s="3">
        <f t="shared" ref="L79:L85" si="12">F79+J79</f>
        <v>87104876.712328762</v>
      </c>
      <c r="M79" s="86">
        <f t="shared" si="9"/>
        <v>87104876.712328762</v>
      </c>
      <c r="N79" s="25"/>
    </row>
    <row r="80" spans="1:14" x14ac:dyDescent="0.25">
      <c r="A80" s="11" t="s">
        <v>1069</v>
      </c>
      <c r="B80" s="11" t="s">
        <v>963</v>
      </c>
      <c r="C80" s="11">
        <v>1100000</v>
      </c>
      <c r="D80" s="11" t="s">
        <v>676</v>
      </c>
      <c r="E80" s="3">
        <v>1100000</v>
      </c>
      <c r="F80" s="29">
        <f t="shared" si="10"/>
        <v>0</v>
      </c>
      <c r="G80" s="11">
        <f>G78-5</f>
        <v>1</v>
      </c>
      <c r="H80" s="3">
        <f t="shared" si="8"/>
        <v>663.01369863013701</v>
      </c>
      <c r="I80" s="3">
        <f>H80</f>
        <v>663.01369863013701</v>
      </c>
      <c r="J80" s="3">
        <v>0</v>
      </c>
      <c r="K80" s="3">
        <f t="shared" si="11"/>
        <v>1100663.01369863</v>
      </c>
      <c r="L80" s="3">
        <f t="shared" si="12"/>
        <v>0</v>
      </c>
      <c r="M80" s="29">
        <f t="shared" si="9"/>
        <v>1100663.01369863</v>
      </c>
      <c r="N80" s="25"/>
    </row>
    <row r="81" spans="1:14" x14ac:dyDescent="0.25">
      <c r="A81" s="11"/>
      <c r="B81" s="11"/>
      <c r="C81" s="11"/>
      <c r="D81" s="11"/>
      <c r="E81" s="11"/>
      <c r="F81" s="29">
        <f t="shared" si="10"/>
        <v>0</v>
      </c>
      <c r="G81" s="11"/>
      <c r="H81" s="3">
        <f t="shared" si="8"/>
        <v>0</v>
      </c>
      <c r="I81" s="3"/>
      <c r="J81" s="3"/>
      <c r="K81" s="3">
        <f t="shared" si="11"/>
        <v>0</v>
      </c>
      <c r="L81" s="3">
        <f t="shared" si="12"/>
        <v>0</v>
      </c>
      <c r="M81" s="29">
        <f t="shared" si="9"/>
        <v>0</v>
      </c>
      <c r="N81" s="25"/>
    </row>
    <row r="82" spans="1:14" x14ac:dyDescent="0.25">
      <c r="A82" s="11"/>
      <c r="B82" s="11"/>
      <c r="C82" s="11"/>
      <c r="D82" s="11"/>
      <c r="E82" s="11"/>
      <c r="F82" s="29">
        <f t="shared" si="10"/>
        <v>0</v>
      </c>
      <c r="G82" s="11"/>
      <c r="H82" s="3">
        <f t="shared" si="8"/>
        <v>0</v>
      </c>
      <c r="I82" s="3"/>
      <c r="J82" s="3"/>
      <c r="K82" s="3">
        <f t="shared" si="11"/>
        <v>0</v>
      </c>
      <c r="L82" s="3">
        <f t="shared" si="12"/>
        <v>0</v>
      </c>
      <c r="M82" s="29">
        <f t="shared" si="9"/>
        <v>0</v>
      </c>
      <c r="N82" s="25"/>
    </row>
    <row r="83" spans="1:14" x14ac:dyDescent="0.25">
      <c r="A83" s="11"/>
      <c r="B83" s="11"/>
      <c r="C83" s="11"/>
      <c r="D83" s="11"/>
      <c r="E83" s="11"/>
      <c r="F83" s="11"/>
      <c r="G83" s="11"/>
      <c r="H83" s="3">
        <f t="shared" si="8"/>
        <v>0</v>
      </c>
      <c r="I83" s="3"/>
      <c r="J83" s="3"/>
      <c r="K83" s="3">
        <f t="shared" si="11"/>
        <v>0</v>
      </c>
      <c r="L83" s="3">
        <f t="shared" si="12"/>
        <v>0</v>
      </c>
      <c r="M83" s="29">
        <f t="shared" si="9"/>
        <v>0</v>
      </c>
    </row>
    <row r="84" spans="1:14" x14ac:dyDescent="0.25">
      <c r="A84" s="11"/>
      <c r="B84" s="11"/>
      <c r="C84" s="11"/>
      <c r="D84" s="11"/>
      <c r="E84" s="11"/>
      <c r="F84" s="11"/>
      <c r="G84" s="11"/>
      <c r="H84" s="3">
        <f t="shared" si="8"/>
        <v>0</v>
      </c>
      <c r="I84" s="3"/>
      <c r="J84" s="3"/>
      <c r="K84" s="3">
        <f t="shared" si="11"/>
        <v>0</v>
      </c>
      <c r="L84" s="3">
        <f t="shared" si="12"/>
        <v>0</v>
      </c>
      <c r="M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3">
        <f t="shared" si="11"/>
        <v>0</v>
      </c>
      <c r="L85" s="3">
        <f t="shared" si="12"/>
        <v>0</v>
      </c>
      <c r="M85" s="11"/>
    </row>
    <row r="86" spans="1:14" x14ac:dyDescent="0.25">
      <c r="A86" s="11"/>
      <c r="B86" s="11"/>
      <c r="C86" s="29">
        <f>SUM(C78:C84)</f>
        <v>168600000</v>
      </c>
      <c r="D86" s="11"/>
      <c r="E86" s="3">
        <f>SUM(E78:E84)</f>
        <v>81600000</v>
      </c>
      <c r="F86" s="29">
        <f>SUM(F78:F83)</f>
        <v>87000000</v>
      </c>
      <c r="G86" s="11"/>
      <c r="H86" s="11"/>
      <c r="I86" s="11"/>
      <c r="J86" s="11"/>
      <c r="K86" s="29">
        <f>SUM(K78:K85)</f>
        <v>81891786.301369876</v>
      </c>
      <c r="L86" s="29">
        <f>SUM(L78:L85)</f>
        <v>87104876.712328762</v>
      </c>
      <c r="M86" s="29">
        <f>SUM(M78:M84)</f>
        <v>168996663.01369864</v>
      </c>
    </row>
    <row r="88" spans="1:14" x14ac:dyDescent="0.25">
      <c r="F88" t="s">
        <v>756</v>
      </c>
      <c r="G88" t="s">
        <v>453</v>
      </c>
    </row>
    <row r="89" spans="1:14" x14ac:dyDescent="0.25">
      <c r="E89" t="s">
        <v>1076</v>
      </c>
      <c r="F89" s="7">
        <f>F86+Q55</f>
        <v>87197842.5</v>
      </c>
      <c r="G89" s="7">
        <f>E86+P55</f>
        <v>83199126.5</v>
      </c>
    </row>
    <row r="90" spans="1:14" x14ac:dyDescent="0.25">
      <c r="E90" t="s">
        <v>1079</v>
      </c>
      <c r="F90" s="7">
        <f>F89-L86</f>
        <v>92965.787671238184</v>
      </c>
      <c r="G90" s="7">
        <f>G89-K86</f>
        <v>1307340.1986301243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Normal="100" workbookViewId="0">
      <selection activeCell="O2" sqref="O2"/>
    </sheetView>
  </sheetViews>
  <sheetFormatPr defaultRowHeight="15" x14ac:dyDescent="0.25"/>
  <cols>
    <col min="5" max="5" width="10.85546875" bestFit="1" customWidth="1"/>
    <col min="6" max="6" width="10.85546875" customWidth="1"/>
    <col min="7" max="7" width="17.5703125" bestFit="1" customWidth="1"/>
    <col min="8" max="9" width="12.42578125" bestFit="1" customWidth="1"/>
    <col min="10" max="10" width="11" bestFit="1" customWidth="1"/>
    <col min="15" max="17" width="12.42578125" bestFit="1" customWidth="1"/>
    <col min="19" max="19" width="14.5703125" bestFit="1" customWidth="1"/>
    <col min="21" max="21" width="12.42578125" bestFit="1" customWidth="1"/>
  </cols>
  <sheetData>
    <row r="1" spans="1:22" x14ac:dyDescent="0.25">
      <c r="A1" s="11" t="s">
        <v>961</v>
      </c>
      <c r="B1" s="11" t="s">
        <v>990</v>
      </c>
      <c r="C1" s="11" t="s">
        <v>1006</v>
      </c>
      <c r="D1" s="11" t="s">
        <v>1007</v>
      </c>
      <c r="E1" s="11" t="s">
        <v>1003</v>
      </c>
      <c r="F1" s="11" t="s">
        <v>1045</v>
      </c>
      <c r="G1" s="11" t="s">
        <v>1020</v>
      </c>
      <c r="H1" s="11" t="s">
        <v>969</v>
      </c>
      <c r="I1" s="11" t="s">
        <v>1008</v>
      </c>
      <c r="J1" s="70" t="s">
        <v>1039</v>
      </c>
      <c r="M1">
        <v>96</v>
      </c>
      <c r="N1">
        <v>12</v>
      </c>
      <c r="O1" s="3">
        <v>85000</v>
      </c>
      <c r="P1" s="3">
        <f>O1</f>
        <v>85000</v>
      </c>
      <c r="Q1" s="3">
        <v>0</v>
      </c>
      <c r="S1" t="s">
        <v>984</v>
      </c>
      <c r="T1" t="s">
        <v>1051</v>
      </c>
      <c r="U1" t="s">
        <v>1052</v>
      </c>
    </row>
    <row r="2" spans="1:22" x14ac:dyDescent="0.25">
      <c r="A2" s="11">
        <v>1</v>
      </c>
      <c r="B2" s="11" t="s">
        <v>1049</v>
      </c>
      <c r="C2" s="11">
        <v>17</v>
      </c>
      <c r="D2" s="11">
        <v>6</v>
      </c>
      <c r="E2" s="11" t="s">
        <v>1050</v>
      </c>
      <c r="F2" s="11">
        <f>46-$E$32</f>
        <v>46</v>
      </c>
      <c r="G2" s="3">
        <v>100000</v>
      </c>
      <c r="H2" s="3">
        <v>96000</v>
      </c>
      <c r="I2" s="3">
        <v>86000</v>
      </c>
      <c r="J2" s="70"/>
      <c r="M2">
        <v>97</v>
      </c>
      <c r="N2">
        <v>1</v>
      </c>
      <c r="O2">
        <f t="shared" ref="O2:O3" si="0">$V$2</f>
        <v>1216.6666666666667</v>
      </c>
      <c r="P2" s="3">
        <f>P1*(1+$S$2/1200)</f>
        <v>86558.333333333328</v>
      </c>
      <c r="Q2" s="3">
        <f>O2+Q1*(1+$S$2/1200)</f>
        <v>1216.6666666666667</v>
      </c>
      <c r="S2">
        <v>22</v>
      </c>
      <c r="T2">
        <v>14.6</v>
      </c>
      <c r="U2" s="3">
        <v>100000</v>
      </c>
      <c r="V2">
        <f>U2*T2/(100*12)</f>
        <v>1216.6666666666667</v>
      </c>
    </row>
    <row r="3" spans="1:22" x14ac:dyDescent="0.25">
      <c r="A3" s="11">
        <v>2</v>
      </c>
      <c r="B3" s="11" t="s">
        <v>991</v>
      </c>
      <c r="C3" s="11">
        <v>21</v>
      </c>
      <c r="D3" s="11">
        <v>3</v>
      </c>
      <c r="E3" s="11" t="s">
        <v>1013</v>
      </c>
      <c r="F3" s="11">
        <f>19-$E$32</f>
        <v>19</v>
      </c>
      <c r="G3" s="3">
        <v>100000</v>
      </c>
      <c r="H3" s="3">
        <v>98000</v>
      </c>
      <c r="I3" s="3">
        <v>98100</v>
      </c>
      <c r="J3" s="11"/>
      <c r="M3">
        <v>97</v>
      </c>
      <c r="N3">
        <v>2</v>
      </c>
      <c r="O3">
        <f t="shared" si="0"/>
        <v>1216.6666666666667</v>
      </c>
      <c r="P3" s="3">
        <f t="shared" ref="P3:P20" si="1">P2*(1+$S$2/1200)</f>
        <v>88145.236111111109</v>
      </c>
      <c r="Q3" s="3">
        <f t="shared" ref="Q3:Q49" si="2">O3+Q2*(1+$S$2/1200)</f>
        <v>2455.6388888888887</v>
      </c>
    </row>
    <row r="4" spans="1:22" x14ac:dyDescent="0.25">
      <c r="A4" s="11">
        <v>3</v>
      </c>
      <c r="B4" s="11" t="s">
        <v>992</v>
      </c>
      <c r="C4" s="11">
        <v>16</v>
      </c>
      <c r="D4" s="11">
        <v>3</v>
      </c>
      <c r="E4" s="11" t="s">
        <v>1014</v>
      </c>
      <c r="F4" s="11">
        <f>19-$E$32</f>
        <v>19</v>
      </c>
      <c r="G4" s="3">
        <v>100000</v>
      </c>
      <c r="H4" s="3">
        <v>91000</v>
      </c>
      <c r="I4" s="3">
        <v>91500</v>
      </c>
      <c r="J4" s="11"/>
      <c r="M4">
        <v>97</v>
      </c>
      <c r="N4">
        <v>3</v>
      </c>
      <c r="O4">
        <f>$V$2</f>
        <v>1216.6666666666667</v>
      </c>
      <c r="P4" s="3">
        <f t="shared" si="1"/>
        <v>89761.232106481475</v>
      </c>
      <c r="Q4" s="3">
        <f t="shared" si="2"/>
        <v>3717.3256018518514</v>
      </c>
    </row>
    <row r="5" spans="1:22" x14ac:dyDescent="0.25">
      <c r="A5" s="11">
        <v>4</v>
      </c>
      <c r="B5" s="23" t="s">
        <v>983</v>
      </c>
      <c r="C5" s="11">
        <v>21</v>
      </c>
      <c r="D5" s="11">
        <v>3</v>
      </c>
      <c r="E5" s="11" t="s">
        <v>1015</v>
      </c>
      <c r="F5" s="11">
        <f>21-$E$32</f>
        <v>21</v>
      </c>
      <c r="G5" s="3">
        <v>100000</v>
      </c>
      <c r="H5" s="3">
        <v>97200</v>
      </c>
      <c r="I5" s="3">
        <v>98100</v>
      </c>
      <c r="J5" s="11"/>
      <c r="M5">
        <v>97</v>
      </c>
      <c r="N5">
        <v>4</v>
      </c>
      <c r="O5">
        <f t="shared" ref="O5:O49" si="3">$V$2</f>
        <v>1216.6666666666667</v>
      </c>
      <c r="P5" s="3">
        <f t="shared" si="1"/>
        <v>91406.854695100294</v>
      </c>
      <c r="Q5" s="3">
        <f t="shared" si="2"/>
        <v>5002.1432378858017</v>
      </c>
    </row>
    <row r="6" spans="1:22" x14ac:dyDescent="0.25">
      <c r="A6" s="11">
        <v>5</v>
      </c>
      <c r="B6" s="11" t="s">
        <v>975</v>
      </c>
      <c r="C6" s="11">
        <v>21</v>
      </c>
      <c r="D6" s="11">
        <v>3</v>
      </c>
      <c r="E6" s="11" t="s">
        <v>1016</v>
      </c>
      <c r="F6" s="11">
        <f>24-$E$32</f>
        <v>24</v>
      </c>
      <c r="G6" s="3">
        <v>100000</v>
      </c>
      <c r="H6" s="3">
        <v>99500</v>
      </c>
      <c r="I6" s="3">
        <v>98100</v>
      </c>
      <c r="J6" s="11"/>
      <c r="M6">
        <v>97</v>
      </c>
      <c r="N6">
        <v>5</v>
      </c>
      <c r="O6">
        <f t="shared" si="3"/>
        <v>1216.6666666666667</v>
      </c>
      <c r="P6" s="3">
        <f t="shared" si="1"/>
        <v>93082.647031177126</v>
      </c>
      <c r="Q6" s="3">
        <f t="shared" si="2"/>
        <v>6310.515863913708</v>
      </c>
    </row>
    <row r="7" spans="1:22" x14ac:dyDescent="0.25">
      <c r="A7" s="11">
        <v>6</v>
      </c>
      <c r="B7" s="11" t="s">
        <v>993</v>
      </c>
      <c r="C7" s="11">
        <v>18</v>
      </c>
      <c r="D7" s="11">
        <v>3</v>
      </c>
      <c r="E7" s="11" t="s">
        <v>1048</v>
      </c>
      <c r="F7" s="11">
        <f>24-$E$32</f>
        <v>24</v>
      </c>
      <c r="G7" s="3">
        <v>100000</v>
      </c>
      <c r="H7" s="3">
        <v>93000</v>
      </c>
      <c r="I7" s="3">
        <v>93000</v>
      </c>
      <c r="J7" s="11"/>
      <c r="M7">
        <v>97</v>
      </c>
      <c r="N7">
        <v>6</v>
      </c>
      <c r="O7">
        <f t="shared" si="3"/>
        <v>1216.6666666666667</v>
      </c>
      <c r="P7" s="3">
        <f t="shared" si="1"/>
        <v>94789.162226748711</v>
      </c>
      <c r="Q7" s="3">
        <f t="shared" si="2"/>
        <v>7642.8753214187927</v>
      </c>
    </row>
    <row r="8" spans="1:22" x14ac:dyDescent="0.25">
      <c r="A8" s="11">
        <v>7</v>
      </c>
      <c r="B8" s="11" t="s">
        <v>994</v>
      </c>
      <c r="C8" s="11">
        <v>16</v>
      </c>
      <c r="D8" s="11">
        <v>3</v>
      </c>
      <c r="E8" s="11" t="s">
        <v>1017</v>
      </c>
      <c r="F8" s="11">
        <f>22-$E$32</f>
        <v>22</v>
      </c>
      <c r="G8" s="3">
        <v>100000</v>
      </c>
      <c r="H8" s="3">
        <v>90000</v>
      </c>
      <c r="I8" s="3">
        <v>90000</v>
      </c>
      <c r="J8" s="11"/>
      <c r="M8">
        <v>97</v>
      </c>
      <c r="N8">
        <v>7</v>
      </c>
      <c r="O8">
        <f t="shared" si="3"/>
        <v>1216.6666666666667</v>
      </c>
      <c r="P8" s="3">
        <f t="shared" si="1"/>
        <v>96526.963534239097</v>
      </c>
      <c r="Q8" s="3">
        <f t="shared" si="2"/>
        <v>8999.661368978137</v>
      </c>
    </row>
    <row r="9" spans="1:22" x14ac:dyDescent="0.25">
      <c r="A9" s="11">
        <v>8</v>
      </c>
      <c r="B9" s="11" t="s">
        <v>995</v>
      </c>
      <c r="C9" s="11">
        <v>15</v>
      </c>
      <c r="D9" s="11">
        <v>6</v>
      </c>
      <c r="E9" s="11" t="s">
        <v>1018</v>
      </c>
      <c r="F9" s="11">
        <f>33-$E$32</f>
        <v>33</v>
      </c>
      <c r="G9" s="3">
        <v>100000</v>
      </c>
      <c r="H9" s="3">
        <v>82000</v>
      </c>
      <c r="I9" s="3">
        <v>85000</v>
      </c>
      <c r="J9" s="11"/>
      <c r="M9">
        <v>97</v>
      </c>
      <c r="N9">
        <v>8</v>
      </c>
      <c r="O9">
        <f t="shared" si="3"/>
        <v>1216.6666666666667</v>
      </c>
      <c r="P9" s="3">
        <f t="shared" si="1"/>
        <v>98296.624532366812</v>
      </c>
      <c r="Q9" s="3">
        <f t="shared" si="2"/>
        <v>10381.321827409402</v>
      </c>
    </row>
    <row r="10" spans="1:22" x14ac:dyDescent="0.25">
      <c r="A10" s="11">
        <v>9</v>
      </c>
      <c r="B10" s="11" t="s">
        <v>966</v>
      </c>
      <c r="C10" s="11">
        <v>0</v>
      </c>
      <c r="D10" s="11">
        <v>0</v>
      </c>
      <c r="E10" s="11" t="s">
        <v>1019</v>
      </c>
      <c r="F10" s="11">
        <f>12-$E$32</f>
        <v>12</v>
      </c>
      <c r="G10" s="3">
        <v>100000</v>
      </c>
      <c r="H10" s="3">
        <v>80200</v>
      </c>
      <c r="I10" s="3">
        <v>80400</v>
      </c>
      <c r="J10" s="11"/>
      <c r="M10">
        <v>97</v>
      </c>
      <c r="N10">
        <v>9</v>
      </c>
      <c r="O10">
        <f t="shared" si="3"/>
        <v>1216.6666666666667</v>
      </c>
      <c r="P10" s="3">
        <f t="shared" si="1"/>
        <v>100098.72931546021</v>
      </c>
      <c r="Q10" s="3">
        <f t="shared" si="2"/>
        <v>11788.312727578574</v>
      </c>
    </row>
    <row r="11" spans="1:22" x14ac:dyDescent="0.25">
      <c r="A11" s="11">
        <v>10</v>
      </c>
      <c r="B11" s="11" t="s">
        <v>996</v>
      </c>
      <c r="C11" s="11">
        <v>0</v>
      </c>
      <c r="D11" s="11">
        <v>0</v>
      </c>
      <c r="E11" s="11" t="s">
        <v>1029</v>
      </c>
      <c r="F11" s="11">
        <f>5-$E$32</f>
        <v>5</v>
      </c>
      <c r="G11" s="3">
        <v>100000</v>
      </c>
      <c r="H11" s="3">
        <v>92020</v>
      </c>
      <c r="I11" s="3">
        <v>91500</v>
      </c>
      <c r="J11" s="11"/>
      <c r="M11">
        <v>97</v>
      </c>
      <c r="N11">
        <v>10</v>
      </c>
      <c r="O11">
        <f t="shared" si="3"/>
        <v>1216.6666666666667</v>
      </c>
      <c r="P11" s="3">
        <f t="shared" si="1"/>
        <v>101933.87268624365</v>
      </c>
      <c r="Q11" s="3">
        <f t="shared" si="2"/>
        <v>13221.098460917514</v>
      </c>
    </row>
    <row r="12" spans="1:22" x14ac:dyDescent="0.25">
      <c r="A12" s="11">
        <v>11</v>
      </c>
      <c r="B12" s="11" t="s">
        <v>997</v>
      </c>
      <c r="C12" s="11">
        <v>0</v>
      </c>
      <c r="D12" s="11">
        <v>0</v>
      </c>
      <c r="E12" s="11" t="s">
        <v>1030</v>
      </c>
      <c r="F12" s="11">
        <f>6-$E$32</f>
        <v>6</v>
      </c>
      <c r="G12" s="3">
        <v>100000</v>
      </c>
      <c r="H12" s="3">
        <v>90100</v>
      </c>
      <c r="I12" s="3">
        <v>90000</v>
      </c>
      <c r="J12" s="11"/>
      <c r="M12">
        <v>97</v>
      </c>
      <c r="N12">
        <v>11</v>
      </c>
      <c r="O12">
        <f t="shared" si="3"/>
        <v>1216.6666666666667</v>
      </c>
      <c r="P12" s="3">
        <f t="shared" si="1"/>
        <v>103802.66035215811</v>
      </c>
      <c r="Q12" s="3">
        <f t="shared" si="2"/>
        <v>14680.151932701001</v>
      </c>
    </row>
    <row r="13" spans="1:22" x14ac:dyDescent="0.25">
      <c r="A13" s="11">
        <v>12</v>
      </c>
      <c r="B13" s="11" t="s">
        <v>998</v>
      </c>
      <c r="C13" s="11">
        <v>0</v>
      </c>
      <c r="D13" s="11">
        <v>0</v>
      </c>
      <c r="E13" s="11" t="s">
        <v>1031</v>
      </c>
      <c r="F13" s="11">
        <f>7-$E$32</f>
        <v>7</v>
      </c>
      <c r="G13" s="3">
        <v>100000</v>
      </c>
      <c r="H13" s="3">
        <v>88600</v>
      </c>
      <c r="I13" s="3">
        <v>88100</v>
      </c>
      <c r="J13" s="11"/>
      <c r="M13">
        <v>97</v>
      </c>
      <c r="N13">
        <v>12</v>
      </c>
      <c r="O13">
        <f t="shared" si="3"/>
        <v>1216.6666666666667</v>
      </c>
      <c r="P13" s="3">
        <f t="shared" si="1"/>
        <v>105705.70912528101</v>
      </c>
      <c r="Q13" s="3">
        <f t="shared" si="2"/>
        <v>16165.954718133851</v>
      </c>
    </row>
    <row r="14" spans="1:22" x14ac:dyDescent="0.25">
      <c r="A14" s="11">
        <v>13</v>
      </c>
      <c r="B14" s="11" t="s">
        <v>999</v>
      </c>
      <c r="C14" s="11">
        <v>0</v>
      </c>
      <c r="D14" s="11">
        <v>0</v>
      </c>
      <c r="E14" s="11" t="s">
        <v>1032</v>
      </c>
      <c r="F14" s="11">
        <f>20-$E$32</f>
        <v>20</v>
      </c>
      <c r="G14" s="3">
        <v>100000</v>
      </c>
      <c r="H14" s="3">
        <v>71000</v>
      </c>
      <c r="I14" s="3">
        <v>70000</v>
      </c>
      <c r="J14" s="11"/>
      <c r="M14">
        <v>98</v>
      </c>
      <c r="N14">
        <v>1</v>
      </c>
      <c r="O14">
        <f t="shared" si="3"/>
        <v>1216.6666666666667</v>
      </c>
      <c r="P14" s="3">
        <f t="shared" si="1"/>
        <v>107643.64712591116</v>
      </c>
      <c r="Q14" s="3">
        <f t="shared" si="2"/>
        <v>17678.99722129964</v>
      </c>
    </row>
    <row r="15" spans="1:22" x14ac:dyDescent="0.25">
      <c r="A15" s="11">
        <v>14</v>
      </c>
      <c r="B15" s="11" t="s">
        <v>1000</v>
      </c>
      <c r="C15" s="11">
        <v>0</v>
      </c>
      <c r="D15" s="11">
        <v>0</v>
      </c>
      <c r="E15" s="11" t="s">
        <v>1033</v>
      </c>
      <c r="F15" s="11">
        <f>9-$E$32</f>
        <v>9</v>
      </c>
      <c r="G15" s="3">
        <v>100000</v>
      </c>
      <c r="H15" s="3">
        <v>84500</v>
      </c>
      <c r="I15" s="3">
        <v>85000</v>
      </c>
      <c r="J15" s="11"/>
      <c r="M15">
        <v>98</v>
      </c>
      <c r="N15">
        <v>2</v>
      </c>
      <c r="O15">
        <f t="shared" si="3"/>
        <v>1216.6666666666667</v>
      </c>
      <c r="P15" s="3">
        <f t="shared" si="1"/>
        <v>109617.11398988619</v>
      </c>
      <c r="Q15" s="3">
        <f t="shared" si="2"/>
        <v>19219.778837023467</v>
      </c>
    </row>
    <row r="16" spans="1:22" x14ac:dyDescent="0.25">
      <c r="A16" s="11">
        <v>15</v>
      </c>
      <c r="B16" s="11" t="s">
        <v>1001</v>
      </c>
      <c r="C16" s="11">
        <v>0</v>
      </c>
      <c r="D16" s="11">
        <v>0</v>
      </c>
      <c r="E16" s="11" t="s">
        <v>1034</v>
      </c>
      <c r="F16" s="11">
        <f>19-$E$32</f>
        <v>19</v>
      </c>
      <c r="G16" s="3">
        <v>100000</v>
      </c>
      <c r="H16" s="3">
        <v>71000</v>
      </c>
      <c r="I16" s="3">
        <v>71000</v>
      </c>
      <c r="J16" s="11"/>
      <c r="M16">
        <v>98</v>
      </c>
      <c r="N16">
        <v>3</v>
      </c>
      <c r="O16">
        <f t="shared" si="3"/>
        <v>1216.6666666666667</v>
      </c>
      <c r="P16" s="3">
        <f t="shared" si="1"/>
        <v>111626.76107970077</v>
      </c>
      <c r="Q16" s="3">
        <f t="shared" si="2"/>
        <v>20788.808115702232</v>
      </c>
    </row>
    <row r="17" spans="1:17" x14ac:dyDescent="0.25">
      <c r="A17" s="11">
        <v>16</v>
      </c>
      <c r="B17" s="11" t="s">
        <v>1002</v>
      </c>
      <c r="C17" s="11">
        <v>0</v>
      </c>
      <c r="D17" s="11">
        <v>0</v>
      </c>
      <c r="E17" s="11" t="s">
        <v>1036</v>
      </c>
      <c r="F17" s="11">
        <f>10-$E$32</f>
        <v>10</v>
      </c>
      <c r="G17" s="3">
        <v>100000</v>
      </c>
      <c r="H17" s="3">
        <v>84000</v>
      </c>
      <c r="I17" s="3">
        <v>83500</v>
      </c>
      <c r="J17" s="11"/>
      <c r="M17">
        <v>98</v>
      </c>
      <c r="N17">
        <v>4</v>
      </c>
      <c r="O17">
        <f t="shared" si="3"/>
        <v>1216.6666666666667</v>
      </c>
      <c r="P17" s="3">
        <f t="shared" si="1"/>
        <v>113673.25169949527</v>
      </c>
      <c r="Q17" s="3">
        <f t="shared" si="2"/>
        <v>22386.602931156773</v>
      </c>
    </row>
    <row r="18" spans="1:17" x14ac:dyDescent="0.25">
      <c r="A18" s="11">
        <v>17</v>
      </c>
      <c r="B18" s="11" t="s">
        <v>1021</v>
      </c>
      <c r="C18" s="11">
        <v>0</v>
      </c>
      <c r="D18" s="11">
        <v>0</v>
      </c>
      <c r="E18" s="11" t="s">
        <v>1035</v>
      </c>
      <c r="F18" s="11">
        <f>16-$E$32</f>
        <v>16</v>
      </c>
      <c r="G18" s="3">
        <v>100000</v>
      </c>
      <c r="H18" s="3">
        <v>75500</v>
      </c>
      <c r="I18" s="3">
        <v>74800</v>
      </c>
      <c r="J18" s="11"/>
      <c r="M18">
        <v>98</v>
      </c>
      <c r="N18">
        <v>5</v>
      </c>
      <c r="O18">
        <f t="shared" si="3"/>
        <v>1216.6666666666667</v>
      </c>
      <c r="P18" s="3">
        <f t="shared" si="1"/>
        <v>115757.26131398602</v>
      </c>
      <c r="Q18" s="3">
        <f t="shared" si="2"/>
        <v>24013.690651561315</v>
      </c>
    </row>
    <row r="19" spans="1:17" x14ac:dyDescent="0.25">
      <c r="A19" s="11">
        <v>18</v>
      </c>
      <c r="B19" s="11" t="s">
        <v>1022</v>
      </c>
      <c r="C19" s="11">
        <v>0</v>
      </c>
      <c r="D19" s="11">
        <v>0</v>
      </c>
      <c r="E19" s="11" t="s">
        <v>1035</v>
      </c>
      <c r="F19" s="11">
        <f>16-$E$32</f>
        <v>16</v>
      </c>
      <c r="G19" s="3">
        <v>100000</v>
      </c>
      <c r="H19" s="3">
        <v>75500</v>
      </c>
      <c r="I19" s="3">
        <v>74800</v>
      </c>
      <c r="J19" s="11"/>
      <c r="M19">
        <v>98</v>
      </c>
      <c r="N19">
        <v>6</v>
      </c>
      <c r="O19">
        <f t="shared" si="3"/>
        <v>1216.6666666666667</v>
      </c>
      <c r="P19" s="3">
        <f t="shared" si="1"/>
        <v>117879.47777140909</v>
      </c>
      <c r="Q19" s="3">
        <f t="shared" si="2"/>
        <v>25670.608313506607</v>
      </c>
    </row>
    <row r="20" spans="1:17" x14ac:dyDescent="0.25">
      <c r="A20" s="11">
        <v>19</v>
      </c>
      <c r="B20" s="11" t="s">
        <v>1023</v>
      </c>
      <c r="C20" s="11">
        <v>0</v>
      </c>
      <c r="D20" s="11">
        <v>0</v>
      </c>
      <c r="E20" s="11" t="s">
        <v>1041</v>
      </c>
      <c r="F20" s="11">
        <f>21-$E$32</f>
        <v>21</v>
      </c>
      <c r="G20" s="3">
        <v>100000</v>
      </c>
      <c r="H20" s="3">
        <v>70000</v>
      </c>
      <c r="I20" s="3">
        <v>68200</v>
      </c>
      <c r="J20" s="11"/>
      <c r="M20">
        <v>98</v>
      </c>
      <c r="N20" s="9">
        <v>7</v>
      </c>
      <c r="O20">
        <f t="shared" si="3"/>
        <v>1216.6666666666667</v>
      </c>
      <c r="P20" s="3">
        <f t="shared" si="1"/>
        <v>120040.60153055159</v>
      </c>
      <c r="Q20" s="3">
        <f t="shared" si="2"/>
        <v>27357.902799254229</v>
      </c>
    </row>
    <row r="21" spans="1:17" x14ac:dyDescent="0.25">
      <c r="A21" s="11">
        <v>20</v>
      </c>
      <c r="B21" s="11" t="s">
        <v>1024</v>
      </c>
      <c r="C21" s="11">
        <v>0</v>
      </c>
      <c r="D21" s="11">
        <v>0</v>
      </c>
      <c r="E21" s="11" t="s">
        <v>1042</v>
      </c>
      <c r="F21" s="11">
        <f>9-$E$32</f>
        <v>9</v>
      </c>
      <c r="G21" s="3">
        <v>100000</v>
      </c>
      <c r="H21" s="3">
        <v>86600</v>
      </c>
      <c r="I21" s="3">
        <v>85000</v>
      </c>
      <c r="J21" s="11"/>
      <c r="K21" t="s">
        <v>25</v>
      </c>
      <c r="M21">
        <v>98</v>
      </c>
      <c r="N21">
        <v>8</v>
      </c>
      <c r="O21">
        <f t="shared" si="3"/>
        <v>1216.6666666666667</v>
      </c>
      <c r="P21" s="3">
        <f>P20*(1+$S$2/1200)</f>
        <v>122241.34589194503</v>
      </c>
      <c r="Q21" s="3">
        <f t="shared" si="2"/>
        <v>29076.131017240557</v>
      </c>
    </row>
    <row r="22" spans="1:17" x14ac:dyDescent="0.25">
      <c r="A22" s="11">
        <v>21</v>
      </c>
      <c r="B22" s="11" t="s">
        <v>1025</v>
      </c>
      <c r="C22" s="11">
        <v>0</v>
      </c>
      <c r="D22" s="11">
        <v>0</v>
      </c>
      <c r="E22" s="11" t="s">
        <v>1043</v>
      </c>
      <c r="F22" s="11">
        <f>23-$E$32</f>
        <v>23</v>
      </c>
      <c r="G22" s="3">
        <v>100000</v>
      </c>
      <c r="H22" s="3">
        <v>68000</v>
      </c>
      <c r="I22" s="3">
        <v>66000</v>
      </c>
      <c r="J22" s="11"/>
      <c r="M22">
        <v>98</v>
      </c>
      <c r="N22" s="9">
        <v>9</v>
      </c>
      <c r="O22">
        <f t="shared" si="3"/>
        <v>1216.6666666666667</v>
      </c>
      <c r="P22" s="3">
        <f t="shared" ref="P22:P49" si="4">P21*(1+$S$2/1200)</f>
        <v>124482.43723329736</v>
      </c>
      <c r="Q22" s="3">
        <f t="shared" si="2"/>
        <v>30825.86008588997</v>
      </c>
    </row>
    <row r="23" spans="1:17" x14ac:dyDescent="0.25">
      <c r="A23" s="11">
        <v>22</v>
      </c>
      <c r="B23" s="11" t="s">
        <v>1026</v>
      </c>
      <c r="C23" s="11">
        <v>0</v>
      </c>
      <c r="D23" s="11">
        <v>0</v>
      </c>
      <c r="E23" s="11" t="s">
        <v>1044</v>
      </c>
      <c r="F23" s="11">
        <f>22-$E$32</f>
        <v>22</v>
      </c>
      <c r="G23" s="3">
        <v>100000</v>
      </c>
      <c r="H23" s="3">
        <v>69000</v>
      </c>
      <c r="I23" s="3">
        <v>67000</v>
      </c>
      <c r="J23" s="11"/>
      <c r="M23">
        <v>98</v>
      </c>
      <c r="N23">
        <v>10</v>
      </c>
      <c r="O23">
        <f t="shared" si="3"/>
        <v>1216.6666666666667</v>
      </c>
      <c r="P23" s="3">
        <f t="shared" si="4"/>
        <v>126764.61524924113</v>
      </c>
      <c r="Q23" s="3">
        <f t="shared" si="2"/>
        <v>32607.667520797953</v>
      </c>
    </row>
    <row r="24" spans="1:17" x14ac:dyDescent="0.25">
      <c r="A24" s="11">
        <v>23</v>
      </c>
      <c r="B24" s="11" t="s">
        <v>1027</v>
      </c>
      <c r="C24" s="11">
        <v>0</v>
      </c>
      <c r="D24" s="11">
        <v>0</v>
      </c>
      <c r="E24" s="11" t="s">
        <v>1044</v>
      </c>
      <c r="F24" s="11">
        <f>22-$E$32</f>
        <v>22</v>
      </c>
      <c r="G24" s="3">
        <v>100000</v>
      </c>
      <c r="H24" s="3">
        <v>69000</v>
      </c>
      <c r="I24" s="3">
        <v>67000</v>
      </c>
      <c r="J24" s="11"/>
      <c r="M24">
        <v>98</v>
      </c>
      <c r="N24">
        <v>11</v>
      </c>
      <c r="O24">
        <f t="shared" si="3"/>
        <v>1216.6666666666667</v>
      </c>
      <c r="P24" s="3">
        <f t="shared" si="4"/>
        <v>129088.63319547722</v>
      </c>
      <c r="Q24" s="3">
        <f t="shared" si="2"/>
        <v>34422.141425345915</v>
      </c>
    </row>
    <row r="25" spans="1:17" x14ac:dyDescent="0.25">
      <c r="A25" s="11">
        <v>24</v>
      </c>
      <c r="B25" s="11" t="s">
        <v>1028</v>
      </c>
      <c r="C25" s="11">
        <v>0</v>
      </c>
      <c r="D25" s="11">
        <v>0</v>
      </c>
      <c r="E25" s="11" t="s">
        <v>1032</v>
      </c>
      <c r="F25" s="11">
        <f>20-$E$32</f>
        <v>20</v>
      </c>
      <c r="G25" s="3">
        <v>100000</v>
      </c>
      <c r="H25" s="3">
        <v>70500</v>
      </c>
      <c r="I25" s="3">
        <v>69600</v>
      </c>
      <c r="J25" s="11"/>
      <c r="M25">
        <v>98</v>
      </c>
      <c r="N25">
        <v>12</v>
      </c>
      <c r="O25">
        <f t="shared" si="3"/>
        <v>1216.6666666666667</v>
      </c>
      <c r="P25" s="3">
        <f t="shared" si="4"/>
        <v>131455.2581373943</v>
      </c>
      <c r="Q25" s="3">
        <f t="shared" si="2"/>
        <v>36269.880684810589</v>
      </c>
    </row>
    <row r="26" spans="1:17" x14ac:dyDescent="0.25">
      <c r="A26" s="11">
        <v>25</v>
      </c>
      <c r="B26" s="11" t="s">
        <v>1004</v>
      </c>
      <c r="C26" s="11">
        <v>20</v>
      </c>
      <c r="D26" s="11">
        <v>6</v>
      </c>
      <c r="E26" s="11" t="s">
        <v>1010</v>
      </c>
      <c r="F26" s="11">
        <f>42-$E$32</f>
        <v>42</v>
      </c>
      <c r="G26" s="3">
        <v>100000</v>
      </c>
      <c r="H26" s="3">
        <v>100000</v>
      </c>
      <c r="I26" s="3"/>
      <c r="J26" s="11"/>
      <c r="M26">
        <v>99</v>
      </c>
      <c r="N26">
        <v>1</v>
      </c>
      <c r="O26">
        <f t="shared" si="3"/>
        <v>1216.6666666666667</v>
      </c>
      <c r="P26" s="3">
        <f t="shared" si="4"/>
        <v>133865.27120324652</v>
      </c>
      <c r="Q26" s="3">
        <f t="shared" si="2"/>
        <v>38151.495164032116</v>
      </c>
    </row>
    <row r="27" spans="1:17" x14ac:dyDescent="0.25">
      <c r="A27" s="11">
        <v>26</v>
      </c>
      <c r="B27" s="11" t="s">
        <v>1005</v>
      </c>
      <c r="C27" s="11">
        <v>18</v>
      </c>
      <c r="D27" s="11">
        <v>6</v>
      </c>
      <c r="E27" s="11" t="s">
        <v>1009</v>
      </c>
      <c r="F27" s="11">
        <f>42-$E$32</f>
        <v>42</v>
      </c>
      <c r="G27" s="3">
        <v>100000</v>
      </c>
      <c r="H27" s="3"/>
      <c r="I27" s="3"/>
      <c r="J27" s="11"/>
      <c r="M27">
        <v>99</v>
      </c>
      <c r="N27">
        <v>2</v>
      </c>
      <c r="O27">
        <f t="shared" si="3"/>
        <v>1216.6666666666667</v>
      </c>
      <c r="P27" s="3">
        <f t="shared" si="4"/>
        <v>136319.46784197271</v>
      </c>
      <c r="Q27" s="3">
        <f t="shared" si="2"/>
        <v>40067.605908706035</v>
      </c>
    </row>
    <row r="28" spans="1:17" x14ac:dyDescent="0.25">
      <c r="A28" s="11">
        <v>27</v>
      </c>
      <c r="B28" s="11" t="s">
        <v>1011</v>
      </c>
      <c r="C28" s="11">
        <v>22</v>
      </c>
      <c r="D28" s="11">
        <v>3</v>
      </c>
      <c r="E28" s="11" t="s">
        <v>1012</v>
      </c>
      <c r="F28" s="11">
        <f>12-$E$32</f>
        <v>12</v>
      </c>
      <c r="G28" s="3">
        <v>100000</v>
      </c>
      <c r="H28" s="3">
        <v>103000</v>
      </c>
      <c r="I28" s="3"/>
      <c r="J28" s="11"/>
      <c r="M28">
        <v>99</v>
      </c>
      <c r="N28">
        <v>3</v>
      </c>
      <c r="O28">
        <f t="shared" si="3"/>
        <v>1216.6666666666667</v>
      </c>
      <c r="P28" s="3">
        <f t="shared" si="4"/>
        <v>138818.65808574221</v>
      </c>
      <c r="Q28" s="3">
        <f t="shared" si="2"/>
        <v>42018.845350365642</v>
      </c>
    </row>
    <row r="29" spans="1:17" x14ac:dyDescent="0.25">
      <c r="A29" s="11">
        <v>28</v>
      </c>
      <c r="B29" s="11" t="s">
        <v>1037</v>
      </c>
      <c r="C29" s="11">
        <v>21</v>
      </c>
      <c r="D29" s="11">
        <v>1</v>
      </c>
      <c r="E29" s="11" t="s">
        <v>1038</v>
      </c>
      <c r="F29" s="11">
        <f>26-$E$32</f>
        <v>26</v>
      </c>
      <c r="G29" s="3">
        <v>100000</v>
      </c>
      <c r="H29" s="3">
        <v>104000</v>
      </c>
      <c r="I29" s="3">
        <v>100000</v>
      </c>
      <c r="J29" s="11" t="s">
        <v>1040</v>
      </c>
      <c r="M29">
        <v>99</v>
      </c>
      <c r="N29">
        <v>4</v>
      </c>
      <c r="O29">
        <f t="shared" si="3"/>
        <v>1216.6666666666667</v>
      </c>
      <c r="P29" s="3">
        <f t="shared" si="4"/>
        <v>141363.66681731414</v>
      </c>
      <c r="Q29" s="3">
        <f t="shared" si="2"/>
        <v>44005.857515122341</v>
      </c>
    </row>
    <row r="30" spans="1:17" x14ac:dyDescent="0.25">
      <c r="M30">
        <v>99</v>
      </c>
      <c r="N30">
        <v>5</v>
      </c>
      <c r="O30">
        <f t="shared" si="3"/>
        <v>1216.6666666666667</v>
      </c>
      <c r="P30" s="3">
        <f t="shared" si="4"/>
        <v>143955.33404229823</v>
      </c>
      <c r="Q30" s="3">
        <f t="shared" si="2"/>
        <v>46029.298236232913</v>
      </c>
    </row>
    <row r="31" spans="1:17" x14ac:dyDescent="0.25">
      <c r="M31">
        <v>99</v>
      </c>
      <c r="N31">
        <v>6</v>
      </c>
      <c r="O31">
        <f t="shared" si="3"/>
        <v>1216.6666666666667</v>
      </c>
      <c r="P31" s="3">
        <f t="shared" si="4"/>
        <v>146594.51516640701</v>
      </c>
      <c r="Q31" s="3">
        <f t="shared" si="2"/>
        <v>48089.835370563844</v>
      </c>
    </row>
    <row r="32" spans="1:17" x14ac:dyDescent="0.25">
      <c r="C32" t="s">
        <v>1046</v>
      </c>
      <c r="D32" t="s">
        <v>1047</v>
      </c>
      <c r="E32">
        <v>0</v>
      </c>
      <c r="M32">
        <v>99</v>
      </c>
      <c r="N32">
        <v>7</v>
      </c>
      <c r="O32">
        <f t="shared" si="3"/>
        <v>1216.6666666666667</v>
      </c>
      <c r="P32" s="3">
        <f t="shared" si="4"/>
        <v>149282.08127779115</v>
      </c>
      <c r="Q32" s="3">
        <f t="shared" si="2"/>
        <v>50188.149019024175</v>
      </c>
    </row>
    <row r="33" spans="13:17" x14ac:dyDescent="0.25">
      <c r="M33">
        <v>99</v>
      </c>
      <c r="N33">
        <v>8</v>
      </c>
      <c r="O33">
        <f t="shared" si="3"/>
        <v>1216.6666666666667</v>
      </c>
      <c r="P33" s="3">
        <f t="shared" si="4"/>
        <v>152018.91943455065</v>
      </c>
      <c r="Q33" s="3">
        <f t="shared" si="2"/>
        <v>52324.931751039614</v>
      </c>
    </row>
    <row r="34" spans="13:17" x14ac:dyDescent="0.25">
      <c r="M34">
        <v>99</v>
      </c>
      <c r="N34" s="9">
        <v>9</v>
      </c>
      <c r="O34">
        <f t="shared" si="3"/>
        <v>1216.6666666666667</v>
      </c>
      <c r="P34" s="3">
        <f t="shared" si="4"/>
        <v>154805.93295751742</v>
      </c>
      <c r="Q34" s="3">
        <f t="shared" si="2"/>
        <v>54500.888833142002</v>
      </c>
    </row>
    <row r="35" spans="13:17" x14ac:dyDescent="0.25">
      <c r="M35">
        <v>99</v>
      </c>
      <c r="N35">
        <v>10</v>
      </c>
      <c r="O35">
        <f t="shared" si="3"/>
        <v>1216.6666666666667</v>
      </c>
      <c r="P35" s="3">
        <f t="shared" si="4"/>
        <v>157644.04172840522</v>
      </c>
      <c r="Q35" s="3">
        <f t="shared" si="2"/>
        <v>56716.738461749599</v>
      </c>
    </row>
    <row r="36" spans="13:17" x14ac:dyDescent="0.25">
      <c r="M36">
        <v>99</v>
      </c>
      <c r="N36">
        <v>11</v>
      </c>
      <c r="O36">
        <f t="shared" si="3"/>
        <v>1216.6666666666667</v>
      </c>
      <c r="P36" s="3">
        <f t="shared" si="4"/>
        <v>160534.18249342599</v>
      </c>
      <c r="Q36" s="3">
        <f t="shared" si="2"/>
        <v>58973.212000215004</v>
      </c>
    </row>
    <row r="37" spans="13:17" x14ac:dyDescent="0.25">
      <c r="M37">
        <v>99</v>
      </c>
      <c r="N37">
        <v>12</v>
      </c>
      <c r="O37">
        <f t="shared" si="3"/>
        <v>1216.6666666666667</v>
      </c>
      <c r="P37" s="3">
        <f t="shared" si="4"/>
        <v>163477.30917247213</v>
      </c>
      <c r="Q37" s="3">
        <f t="shared" si="2"/>
        <v>61271.054220218939</v>
      </c>
    </row>
    <row r="38" spans="13:17" x14ac:dyDescent="0.25">
      <c r="M38">
        <v>100</v>
      </c>
      <c r="N38">
        <v>1</v>
      </c>
      <c r="O38">
        <f t="shared" si="3"/>
        <v>1216.6666666666667</v>
      </c>
      <c r="P38" s="3">
        <f t="shared" si="4"/>
        <v>166474.39317396746</v>
      </c>
      <c r="Q38" s="3">
        <f t="shared" si="2"/>
        <v>63611.023547589619</v>
      </c>
    </row>
    <row r="39" spans="13:17" x14ac:dyDescent="0.25">
      <c r="M39">
        <v>100</v>
      </c>
      <c r="N39">
        <v>2</v>
      </c>
      <c r="O39">
        <f t="shared" si="3"/>
        <v>1216.6666666666667</v>
      </c>
      <c r="P39" s="3">
        <f t="shared" si="4"/>
        <v>169526.42371549018</v>
      </c>
      <c r="Q39" s="3">
        <f t="shared" si="2"/>
        <v>65993.892312628755</v>
      </c>
    </row>
    <row r="40" spans="13:17" x14ac:dyDescent="0.25">
      <c r="M40">
        <v>100</v>
      </c>
      <c r="N40">
        <v>3</v>
      </c>
      <c r="O40">
        <f t="shared" si="3"/>
        <v>1216.6666666666667</v>
      </c>
      <c r="P40" s="3">
        <f t="shared" si="4"/>
        <v>172634.40815027416</v>
      </c>
      <c r="Q40" s="3">
        <f t="shared" si="2"/>
        <v>68420.447005026959</v>
      </c>
    </row>
    <row r="41" spans="13:17" x14ac:dyDescent="0.25">
      <c r="M41">
        <v>100</v>
      </c>
      <c r="N41">
        <v>4</v>
      </c>
      <c r="O41">
        <f t="shared" si="3"/>
        <v>1216.6666666666667</v>
      </c>
      <c r="P41" s="3">
        <f t="shared" si="4"/>
        <v>175799.37229969585</v>
      </c>
      <c r="Q41" s="3">
        <f t="shared" si="2"/>
        <v>70891.488533452459</v>
      </c>
    </row>
    <row r="42" spans="13:17" x14ac:dyDescent="0.25">
      <c r="M42">
        <v>100</v>
      </c>
      <c r="N42">
        <v>5</v>
      </c>
      <c r="O42">
        <f t="shared" si="3"/>
        <v>1216.6666666666667</v>
      </c>
      <c r="P42" s="3">
        <f t="shared" si="4"/>
        <v>179022.36079185695</v>
      </c>
      <c r="Q42" s="3">
        <f t="shared" si="2"/>
        <v>73407.832489899098</v>
      </c>
    </row>
    <row r="43" spans="13:17" x14ac:dyDescent="0.25">
      <c r="M43">
        <v>100</v>
      </c>
      <c r="N43" s="9">
        <v>6</v>
      </c>
      <c r="O43">
        <f t="shared" si="3"/>
        <v>1216.6666666666667</v>
      </c>
      <c r="P43" s="3">
        <f t="shared" si="4"/>
        <v>182304.43740637432</v>
      </c>
      <c r="Q43" s="3">
        <f t="shared" si="2"/>
        <v>75970.309418880584</v>
      </c>
    </row>
    <row r="44" spans="13:17" x14ac:dyDescent="0.25">
      <c r="M44">
        <v>100</v>
      </c>
      <c r="N44">
        <v>7</v>
      </c>
      <c r="O44">
        <f t="shared" si="3"/>
        <v>1216.6666666666667</v>
      </c>
      <c r="P44" s="3">
        <f t="shared" si="4"/>
        <v>185646.68542549119</v>
      </c>
      <c r="Q44" s="3">
        <f t="shared" si="2"/>
        <v>78579.765091560068</v>
      </c>
    </row>
    <row r="45" spans="13:17" x14ac:dyDescent="0.25">
      <c r="M45">
        <v>100</v>
      </c>
      <c r="N45">
        <v>8</v>
      </c>
      <c r="O45">
        <f t="shared" si="3"/>
        <v>1216.6666666666667</v>
      </c>
      <c r="P45" s="3">
        <f t="shared" si="4"/>
        <v>189050.20799162518</v>
      </c>
      <c r="Q45" s="3">
        <f t="shared" si="2"/>
        <v>81237.060784905334</v>
      </c>
    </row>
    <row r="46" spans="13:17" x14ac:dyDescent="0.25">
      <c r="M46">
        <v>100</v>
      </c>
      <c r="N46">
        <v>9</v>
      </c>
      <c r="O46">
        <f t="shared" si="3"/>
        <v>1216.6666666666667</v>
      </c>
      <c r="P46" s="3">
        <f t="shared" si="4"/>
        <v>192516.12847147163</v>
      </c>
      <c r="Q46" s="3">
        <f t="shared" si="2"/>
        <v>83943.073565961939</v>
      </c>
    </row>
    <row r="47" spans="13:17" x14ac:dyDescent="0.25">
      <c r="M47">
        <v>100</v>
      </c>
      <c r="N47">
        <v>10</v>
      </c>
      <c r="O47">
        <f t="shared" si="3"/>
        <v>1216.6666666666667</v>
      </c>
      <c r="P47" s="3">
        <f t="shared" si="4"/>
        <v>196045.59082678193</v>
      </c>
      <c r="Q47" s="3">
        <f t="shared" si="2"/>
        <v>86698.696581337907</v>
      </c>
    </row>
    <row r="48" spans="13:17" x14ac:dyDescent="0.25">
      <c r="M48">
        <v>100</v>
      </c>
      <c r="N48">
        <v>11</v>
      </c>
      <c r="O48">
        <f t="shared" si="3"/>
        <v>1216.6666666666667</v>
      </c>
      <c r="P48" s="3">
        <f t="shared" si="4"/>
        <v>199639.75999193959</v>
      </c>
      <c r="Q48" s="3">
        <f t="shared" si="2"/>
        <v>89504.839351995775</v>
      </c>
    </row>
    <row r="49" spans="13:17" x14ac:dyDescent="0.25">
      <c r="M49">
        <v>100</v>
      </c>
      <c r="N49">
        <v>12</v>
      </c>
      <c r="O49">
        <f t="shared" si="3"/>
        <v>1216.6666666666667</v>
      </c>
      <c r="P49" s="3">
        <f t="shared" si="4"/>
        <v>203299.82225845847</v>
      </c>
      <c r="Q49" s="3">
        <f t="shared" si="2"/>
        <v>92362.428073449031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962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0" sqref="G19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657</v>
      </c>
      <c r="E2" s="11">
        <f>IF(B2&gt;0,1,0)</f>
        <v>1</v>
      </c>
      <c r="F2" s="11">
        <f>B2*(D2-E2)</f>
        <v>63435200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655</v>
      </c>
      <c r="E3" s="11">
        <f t="shared" ref="E3:E66" si="1">IF(B3&gt;0,1,0)</f>
        <v>1</v>
      </c>
      <c r="F3" s="11">
        <f t="shared" ref="F3:F66" si="2">B3*(D3-E3)</f>
        <v>1962000000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652</v>
      </c>
      <c r="E4" s="11">
        <f t="shared" si="1"/>
        <v>0</v>
      </c>
      <c r="F4" s="11">
        <f t="shared" si="2"/>
        <v>-130400000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650</v>
      </c>
      <c r="E5" s="11">
        <f t="shared" si="1"/>
        <v>0</v>
      </c>
      <c r="F5" s="11">
        <f t="shared" si="2"/>
        <v>-65000000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649</v>
      </c>
      <c r="E6" s="11">
        <f t="shared" si="1"/>
        <v>0</v>
      </c>
      <c r="F6" s="11">
        <f t="shared" si="2"/>
        <v>-35695000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648</v>
      </c>
      <c r="E7" s="11">
        <f t="shared" si="1"/>
        <v>0</v>
      </c>
      <c r="F7" s="11">
        <f t="shared" si="2"/>
        <v>-129600000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644</v>
      </c>
      <c r="E8" s="11">
        <f t="shared" si="1"/>
        <v>0</v>
      </c>
      <c r="F8" s="11">
        <f t="shared" si="2"/>
        <v>-128800000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634</v>
      </c>
      <c r="E9" s="11">
        <f t="shared" si="1"/>
        <v>0</v>
      </c>
      <c r="F9" s="11">
        <f t="shared" si="2"/>
        <v>-602617000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633</v>
      </c>
      <c r="E10" s="11">
        <f t="shared" si="1"/>
        <v>1</v>
      </c>
      <c r="F10" s="11">
        <f t="shared" si="2"/>
        <v>1264000000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631</v>
      </c>
      <c r="E11" s="11">
        <f t="shared" si="1"/>
        <v>0</v>
      </c>
      <c r="F11" s="11">
        <f t="shared" si="2"/>
        <v>-672015000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628</v>
      </c>
      <c r="E12" s="11">
        <f t="shared" si="1"/>
        <v>0</v>
      </c>
      <c r="F12" s="11">
        <f t="shared" si="2"/>
        <v>-28260000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627</v>
      </c>
      <c r="E13" s="11">
        <f t="shared" si="1"/>
        <v>0</v>
      </c>
      <c r="F13" s="11">
        <f t="shared" si="2"/>
        <v>-1254438900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623</v>
      </c>
      <c r="E14" s="11">
        <f t="shared" si="1"/>
        <v>0</v>
      </c>
      <c r="F14" s="11">
        <f t="shared" si="2"/>
        <v>-124600000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621</v>
      </c>
      <c r="E15" s="11">
        <f t="shared" si="1"/>
        <v>1</v>
      </c>
      <c r="F15" s="11">
        <f t="shared" si="2"/>
        <v>1240000000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621</v>
      </c>
      <c r="E16" s="11">
        <f t="shared" si="1"/>
        <v>1</v>
      </c>
      <c r="F16" s="11">
        <f t="shared" si="2"/>
        <v>1240000000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621</v>
      </c>
      <c r="E17" s="11">
        <f t="shared" si="1"/>
        <v>1</v>
      </c>
      <c r="F17" s="11">
        <f t="shared" si="2"/>
        <v>744000000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621</v>
      </c>
      <c r="E18" s="11">
        <f t="shared" si="1"/>
        <v>1</v>
      </c>
      <c r="F18" s="11">
        <f t="shared" si="2"/>
        <v>620000000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620</v>
      </c>
      <c r="E19" s="11">
        <f t="shared" si="1"/>
        <v>1</v>
      </c>
      <c r="F19" s="11">
        <f t="shared" si="2"/>
        <v>1857000000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620</v>
      </c>
      <c r="E20" s="11">
        <f t="shared" si="1"/>
        <v>0</v>
      </c>
      <c r="F20" s="11">
        <f t="shared" si="2"/>
        <v>-268274000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620</v>
      </c>
      <c r="E21" s="11">
        <f t="shared" si="1"/>
        <v>0</v>
      </c>
      <c r="F21" s="11">
        <f t="shared" si="2"/>
        <v>-268274000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620</v>
      </c>
      <c r="E22" s="11">
        <f t="shared" si="1"/>
        <v>0</v>
      </c>
      <c r="F22" s="11">
        <f t="shared" si="2"/>
        <v>-268274000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620</v>
      </c>
      <c r="E23" s="11">
        <f t="shared" si="1"/>
        <v>0</v>
      </c>
      <c r="F23" s="11">
        <f t="shared" si="2"/>
        <v>-268274000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620</v>
      </c>
      <c r="E24" s="11">
        <f t="shared" si="1"/>
        <v>0</v>
      </c>
      <c r="F24" s="11">
        <f t="shared" si="2"/>
        <v>-268274000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620</v>
      </c>
      <c r="E25" s="11">
        <f t="shared" si="1"/>
        <v>0</v>
      </c>
      <c r="F25" s="11">
        <f t="shared" si="2"/>
        <v>-124000000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619</v>
      </c>
      <c r="E26" s="11">
        <f t="shared" si="1"/>
        <v>1</v>
      </c>
      <c r="F26" s="11">
        <f t="shared" si="2"/>
        <v>1854000000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617</v>
      </c>
      <c r="E27" s="11">
        <f t="shared" si="1"/>
        <v>0</v>
      </c>
      <c r="F27" s="11">
        <f t="shared" si="2"/>
        <v>-123400000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616</v>
      </c>
      <c r="E28" s="11">
        <f t="shared" si="1"/>
        <v>1</v>
      </c>
      <c r="F28" s="11">
        <f t="shared" si="2"/>
        <v>1230000000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615</v>
      </c>
      <c r="E29" s="11">
        <f t="shared" si="1"/>
        <v>0</v>
      </c>
      <c r="F29" s="11">
        <f t="shared" si="2"/>
        <v>-4305492000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614</v>
      </c>
      <c r="E30" s="11">
        <f t="shared" si="1"/>
        <v>0</v>
      </c>
      <c r="F30" s="11">
        <f t="shared" si="2"/>
        <v>-1842552600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613</v>
      </c>
      <c r="E31" s="11">
        <f t="shared" si="1"/>
        <v>0</v>
      </c>
      <c r="F31" s="11">
        <f t="shared" si="2"/>
        <v>-1039586700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610</v>
      </c>
      <c r="E32" s="11">
        <f t="shared" si="1"/>
        <v>1</v>
      </c>
      <c r="F32" s="11">
        <f t="shared" si="2"/>
        <v>605528700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604</v>
      </c>
      <c r="E33" s="11">
        <f t="shared" si="1"/>
        <v>1</v>
      </c>
      <c r="F33" s="11">
        <f t="shared" si="2"/>
        <v>21159873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603</v>
      </c>
      <c r="E34" s="11">
        <f t="shared" si="1"/>
        <v>0</v>
      </c>
      <c r="F34" s="11">
        <f t="shared" si="2"/>
        <v>-512550000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595</v>
      </c>
      <c r="E35" s="11">
        <f t="shared" si="1"/>
        <v>0</v>
      </c>
      <c r="F35" s="11">
        <f t="shared" si="2"/>
        <v>-113347500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594</v>
      </c>
      <c r="E36" s="11">
        <f t="shared" si="1"/>
        <v>1</v>
      </c>
      <c r="F36" s="11">
        <f t="shared" si="2"/>
        <v>118600000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594</v>
      </c>
      <c r="E37" s="11">
        <f t="shared" si="1"/>
        <v>0</v>
      </c>
      <c r="F37" s="11">
        <f t="shared" si="2"/>
        <v>-118800000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572</v>
      </c>
      <c r="E38" s="11">
        <f t="shared" si="1"/>
        <v>1</v>
      </c>
      <c r="F38" s="11">
        <f t="shared" si="2"/>
        <v>171760226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571</v>
      </c>
      <c r="E39" s="11">
        <f t="shared" si="1"/>
        <v>0</v>
      </c>
      <c r="F39" s="11">
        <f t="shared" si="2"/>
        <v>-54245000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571</v>
      </c>
      <c r="E40" s="11">
        <f t="shared" si="1"/>
        <v>0</v>
      </c>
      <c r="F40" s="11">
        <f t="shared" si="2"/>
        <v>-50306813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566</v>
      </c>
      <c r="E41" s="11">
        <f t="shared" si="1"/>
        <v>0</v>
      </c>
      <c r="F41" s="11">
        <f t="shared" si="2"/>
        <v>-67920000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544</v>
      </c>
      <c r="E42" s="11">
        <f t="shared" si="1"/>
        <v>1</v>
      </c>
      <c r="F42" s="11">
        <f t="shared" si="2"/>
        <v>543110772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540</v>
      </c>
      <c r="E43" s="11">
        <f t="shared" si="1"/>
        <v>0</v>
      </c>
      <c r="F43" s="11">
        <f t="shared" si="2"/>
        <v>-43200000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536</v>
      </c>
      <c r="E44" s="11">
        <f t="shared" si="1"/>
        <v>0</v>
      </c>
      <c r="F44" s="11">
        <f t="shared" si="2"/>
        <v>-113111544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535</v>
      </c>
      <c r="E45" s="11">
        <f t="shared" si="1"/>
        <v>0</v>
      </c>
      <c r="F45" s="11">
        <f t="shared" si="2"/>
        <v>-107000000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534</v>
      </c>
      <c r="E46" s="11">
        <f t="shared" si="1"/>
        <v>0</v>
      </c>
      <c r="F46" s="11">
        <f t="shared" si="2"/>
        <v>-50730000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532</v>
      </c>
      <c r="E47" s="11">
        <f t="shared" si="1"/>
        <v>0</v>
      </c>
      <c r="F47" s="11">
        <f t="shared" si="2"/>
        <v>-23940000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532</v>
      </c>
      <c r="E48" s="11">
        <f t="shared" si="1"/>
        <v>0</v>
      </c>
      <c r="F48" s="11">
        <f t="shared" si="2"/>
        <v>-34143760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529</v>
      </c>
      <c r="E49" s="11">
        <f t="shared" si="1"/>
        <v>0</v>
      </c>
      <c r="F49" s="11">
        <f t="shared" si="2"/>
        <v>-14539036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528</v>
      </c>
      <c r="E50" s="11">
        <f t="shared" si="1"/>
        <v>0</v>
      </c>
      <c r="F50" s="11">
        <f t="shared" si="2"/>
        <v>-74448000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528</v>
      </c>
      <c r="E51" s="11">
        <f t="shared" si="1"/>
        <v>0</v>
      </c>
      <c r="F51" s="11">
        <f t="shared" si="2"/>
        <v>-14121888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527</v>
      </c>
      <c r="E52" s="11">
        <f t="shared" si="1"/>
        <v>0</v>
      </c>
      <c r="F52" s="11">
        <f t="shared" si="2"/>
        <v>-28089100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526</v>
      </c>
      <c r="E53" s="11">
        <f t="shared" si="1"/>
        <v>1</v>
      </c>
      <c r="F53" s="11">
        <f t="shared" si="2"/>
        <v>525000000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520</v>
      </c>
      <c r="E54" s="11">
        <f t="shared" si="1"/>
        <v>0</v>
      </c>
      <c r="F54" s="11">
        <f t="shared" si="2"/>
        <v>-10920000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519</v>
      </c>
      <c r="E55" s="11">
        <f t="shared" si="1"/>
        <v>0</v>
      </c>
      <c r="F55" s="11">
        <f t="shared" si="2"/>
        <v>-508879500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519</v>
      </c>
      <c r="E56" s="11">
        <f t="shared" si="1"/>
        <v>0</v>
      </c>
      <c r="F56" s="11">
        <f t="shared" si="2"/>
        <v>-23355000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506</v>
      </c>
      <c r="E57" s="11">
        <f t="shared" si="1"/>
        <v>1</v>
      </c>
      <c r="F57" s="11">
        <f t="shared" si="2"/>
        <v>1517620445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506</v>
      </c>
      <c r="E58" s="11">
        <f t="shared" si="1"/>
        <v>1</v>
      </c>
      <c r="F58" s="11">
        <f t="shared" si="2"/>
        <v>1010000000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505</v>
      </c>
      <c r="E59" s="11">
        <f t="shared" si="1"/>
        <v>1</v>
      </c>
      <c r="F59" s="11">
        <f t="shared" si="2"/>
        <v>1008000000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505</v>
      </c>
      <c r="E60" s="11">
        <f t="shared" si="1"/>
        <v>0</v>
      </c>
      <c r="F60" s="11">
        <f t="shared" si="2"/>
        <v>-3535757500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481</v>
      </c>
      <c r="E61" s="11">
        <f t="shared" si="1"/>
        <v>1</v>
      </c>
      <c r="F61" s="11">
        <f t="shared" si="2"/>
        <v>1440000000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480</v>
      </c>
      <c r="E62" s="11">
        <f t="shared" si="1"/>
        <v>0</v>
      </c>
      <c r="F62" s="11">
        <f t="shared" si="2"/>
        <v>-13012320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480</v>
      </c>
      <c r="E63" s="11">
        <f t="shared" si="1"/>
        <v>0</v>
      </c>
      <c r="F63" s="11">
        <f t="shared" si="2"/>
        <v>-15834720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480</v>
      </c>
      <c r="E64" s="11">
        <f t="shared" si="1"/>
        <v>1</v>
      </c>
      <c r="F64" s="11">
        <f t="shared" si="2"/>
        <v>1437000000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480</v>
      </c>
      <c r="E65" s="11">
        <f t="shared" si="1"/>
        <v>1</v>
      </c>
      <c r="F65" s="11">
        <f t="shared" si="2"/>
        <v>1422630000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480</v>
      </c>
      <c r="E66" s="11">
        <f t="shared" si="1"/>
        <v>1</v>
      </c>
      <c r="F66" s="11">
        <f t="shared" si="2"/>
        <v>479000000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480</v>
      </c>
      <c r="E67" s="11">
        <f t="shared" ref="E67:E130" si="4">IF(B67&gt;0,1,0)</f>
        <v>1</v>
      </c>
      <c r="F67" s="11">
        <f t="shared" ref="F67:F200" si="5">B67*(D67-E67)</f>
        <v>14370000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479</v>
      </c>
      <c r="E68" s="11">
        <f t="shared" si="4"/>
        <v>1</v>
      </c>
      <c r="F68" s="11">
        <f t="shared" si="5"/>
        <v>14340000000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478</v>
      </c>
      <c r="E69" s="11">
        <f t="shared" si="4"/>
        <v>0</v>
      </c>
      <c r="F69" s="11">
        <f t="shared" si="5"/>
        <v>-95600000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478</v>
      </c>
      <c r="E70" s="11">
        <f t="shared" si="4"/>
        <v>1</v>
      </c>
      <c r="F70" s="11">
        <f t="shared" si="5"/>
        <v>667800000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478</v>
      </c>
      <c r="E71" s="11">
        <f t="shared" si="4"/>
        <v>1</v>
      </c>
      <c r="F71" s="11">
        <f t="shared" si="5"/>
        <v>1240200000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478</v>
      </c>
      <c r="E72" s="11">
        <f t="shared" si="4"/>
        <v>0</v>
      </c>
      <c r="F72" s="11">
        <f t="shared" si="5"/>
        <v>-478000000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476</v>
      </c>
      <c r="E73" s="11">
        <f t="shared" si="4"/>
        <v>1</v>
      </c>
      <c r="F73" s="11">
        <f t="shared" si="5"/>
        <v>7125000000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471</v>
      </c>
      <c r="E74" s="11">
        <f t="shared" si="4"/>
        <v>0</v>
      </c>
      <c r="F74" s="11">
        <f t="shared" si="5"/>
        <v>-7066978200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469</v>
      </c>
      <c r="E75" s="11">
        <f t="shared" si="4"/>
        <v>0</v>
      </c>
      <c r="F75" s="11">
        <f t="shared" si="5"/>
        <v>-1407000000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469</v>
      </c>
      <c r="E76" s="11">
        <f t="shared" si="4"/>
        <v>0</v>
      </c>
      <c r="F76" s="11">
        <f t="shared" si="5"/>
        <v>-93800000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469</v>
      </c>
      <c r="E77" s="11">
        <f t="shared" si="4"/>
        <v>0</v>
      </c>
      <c r="F77" s="11">
        <f t="shared" si="5"/>
        <v>-5629407000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465</v>
      </c>
      <c r="E78" s="11">
        <f t="shared" si="4"/>
        <v>0</v>
      </c>
      <c r="F78" s="11">
        <f t="shared" si="5"/>
        <v>-1395418500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460</v>
      </c>
      <c r="E79" s="11">
        <f t="shared" si="4"/>
        <v>1</v>
      </c>
      <c r="F79" s="11">
        <f t="shared" si="5"/>
        <v>10557000000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455</v>
      </c>
      <c r="E80" s="11">
        <f t="shared" si="4"/>
        <v>0</v>
      </c>
      <c r="F80" s="11">
        <f t="shared" si="5"/>
        <v>-273227500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455</v>
      </c>
      <c r="E81" s="11">
        <f t="shared" si="4"/>
        <v>0</v>
      </c>
      <c r="F81" s="11">
        <f t="shared" si="5"/>
        <v>-91000000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454</v>
      </c>
      <c r="E82" s="11">
        <f t="shared" si="4"/>
        <v>1</v>
      </c>
      <c r="F82" s="11">
        <f t="shared" si="5"/>
        <v>128299113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454</v>
      </c>
      <c r="E83" s="11">
        <f t="shared" si="4"/>
        <v>0</v>
      </c>
      <c r="F83" s="11">
        <f t="shared" si="5"/>
        <v>-90800000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452</v>
      </c>
      <c r="E84" s="11">
        <f t="shared" si="4"/>
        <v>1</v>
      </c>
      <c r="F84" s="11">
        <f t="shared" si="5"/>
        <v>902000000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449</v>
      </c>
      <c r="E85" s="11">
        <f t="shared" si="4"/>
        <v>0</v>
      </c>
      <c r="F85" s="11">
        <f t="shared" si="5"/>
        <v>-89800000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443</v>
      </c>
      <c r="E86" s="11">
        <f t="shared" si="4"/>
        <v>0</v>
      </c>
      <c r="F86" s="11">
        <f t="shared" si="5"/>
        <v>-88600000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441</v>
      </c>
      <c r="E87" s="11">
        <f t="shared" si="4"/>
        <v>0</v>
      </c>
      <c r="F87" s="11">
        <f t="shared" si="5"/>
        <v>-584325000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426</v>
      </c>
      <c r="E88" s="11">
        <f t="shared" si="4"/>
        <v>0</v>
      </c>
      <c r="F88" s="11">
        <f t="shared" si="5"/>
        <v>-213000000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426</v>
      </c>
      <c r="E89" s="11">
        <f t="shared" si="4"/>
        <v>0</v>
      </c>
      <c r="F89" s="11">
        <f t="shared" si="5"/>
        <v>-51120000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424</v>
      </c>
      <c r="E90" s="11">
        <f t="shared" si="4"/>
        <v>1</v>
      </c>
      <c r="F90" s="11">
        <f t="shared" si="5"/>
        <v>181130715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421</v>
      </c>
      <c r="E91" s="11">
        <f t="shared" si="4"/>
        <v>0</v>
      </c>
      <c r="F91" s="11">
        <f t="shared" si="5"/>
        <v>-1263842000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419</v>
      </c>
      <c r="E92" s="11">
        <f t="shared" si="4"/>
        <v>0</v>
      </c>
      <c r="F92" s="11">
        <f t="shared" si="5"/>
        <v>-85895000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419</v>
      </c>
      <c r="E93" s="11">
        <f t="shared" si="4"/>
        <v>0</v>
      </c>
      <c r="F93" s="11">
        <f t="shared" si="5"/>
        <v>-146859500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408</v>
      </c>
      <c r="E94" s="11">
        <f t="shared" si="4"/>
        <v>1</v>
      </c>
      <c r="F94" s="11">
        <f t="shared" si="5"/>
        <v>407000000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403</v>
      </c>
      <c r="E95" s="11">
        <f t="shared" si="4"/>
        <v>1</v>
      </c>
      <c r="F95" s="11">
        <f t="shared" si="5"/>
        <v>3618000000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401</v>
      </c>
      <c r="E96" s="11">
        <f t="shared" si="4"/>
        <v>0</v>
      </c>
      <c r="F96" s="11">
        <f t="shared" si="5"/>
        <v>-10426000000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401</v>
      </c>
      <c r="E97" s="11">
        <f t="shared" si="4"/>
        <v>0</v>
      </c>
      <c r="F97" s="11">
        <f t="shared" si="5"/>
        <v>-10426000000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401</v>
      </c>
      <c r="E98" s="11">
        <f t="shared" si="4"/>
        <v>1</v>
      </c>
      <c r="F98" s="11">
        <f t="shared" si="5"/>
        <v>10400000000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401</v>
      </c>
      <c r="E99" s="11">
        <f t="shared" si="4"/>
        <v>0</v>
      </c>
      <c r="F99" s="11">
        <f t="shared" si="5"/>
        <v>-80200000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399</v>
      </c>
      <c r="E100" s="11">
        <f t="shared" si="4"/>
        <v>1</v>
      </c>
      <c r="F100" s="11">
        <f t="shared" si="5"/>
        <v>11621600000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394</v>
      </c>
      <c r="E101" s="11">
        <f t="shared" si="4"/>
        <v>1</v>
      </c>
      <c r="F101" s="11">
        <f t="shared" si="5"/>
        <v>157178385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393</v>
      </c>
      <c r="E102" s="11">
        <f t="shared" si="4"/>
        <v>1</v>
      </c>
      <c r="F102" s="11">
        <f t="shared" si="5"/>
        <v>784000000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392</v>
      </c>
      <c r="E103" s="11">
        <f t="shared" si="4"/>
        <v>1</v>
      </c>
      <c r="F103" s="11">
        <f t="shared" si="5"/>
        <v>2932500000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392</v>
      </c>
      <c r="E104" s="11">
        <f t="shared" si="4"/>
        <v>0</v>
      </c>
      <c r="F104" s="11">
        <f t="shared" si="5"/>
        <v>-25872000000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392</v>
      </c>
      <c r="E105" s="11">
        <f t="shared" si="4"/>
        <v>0</v>
      </c>
      <c r="F105" s="11">
        <f t="shared" si="5"/>
        <v>-56840000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390</v>
      </c>
      <c r="E106" s="11">
        <f t="shared" si="4"/>
        <v>1</v>
      </c>
      <c r="F106" s="11">
        <f t="shared" si="5"/>
        <v>2334000000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388</v>
      </c>
      <c r="E107" s="11">
        <f t="shared" si="4"/>
        <v>0</v>
      </c>
      <c r="F107" s="11">
        <f t="shared" si="5"/>
        <v>-2330289200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385</v>
      </c>
      <c r="E108" s="11">
        <f t="shared" si="4"/>
        <v>1</v>
      </c>
      <c r="F108" s="11">
        <f t="shared" si="5"/>
        <v>2304000000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373</v>
      </c>
      <c r="E109" s="11">
        <f t="shared" si="4"/>
        <v>0</v>
      </c>
      <c r="F109" s="11">
        <f t="shared" si="5"/>
        <v>-44760000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372</v>
      </c>
      <c r="E110" s="11">
        <f t="shared" si="4"/>
        <v>1</v>
      </c>
      <c r="F110" s="11">
        <f t="shared" si="5"/>
        <v>1484000000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371</v>
      </c>
      <c r="E111" s="11">
        <f t="shared" si="4"/>
        <v>1</v>
      </c>
      <c r="F111" s="11">
        <f t="shared" si="5"/>
        <v>1036000000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367</v>
      </c>
      <c r="E112" s="11">
        <f t="shared" si="4"/>
        <v>0</v>
      </c>
      <c r="F112" s="11">
        <f t="shared" si="5"/>
        <v>-73400000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366</v>
      </c>
      <c r="E113" s="11">
        <f t="shared" si="4"/>
        <v>1</v>
      </c>
      <c r="F113" s="11">
        <f t="shared" si="5"/>
        <v>26393150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349</v>
      </c>
      <c r="E114" s="11">
        <f t="shared" si="4"/>
        <v>0</v>
      </c>
      <c r="F114" s="11">
        <f t="shared" si="5"/>
        <v>-69800000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348</v>
      </c>
      <c r="E115" s="11">
        <f t="shared" si="4"/>
        <v>0</v>
      </c>
      <c r="F115" s="23">
        <f t="shared" si="5"/>
        <v>-3828000000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348</v>
      </c>
      <c r="E116" s="11">
        <f t="shared" si="4"/>
        <v>0</v>
      </c>
      <c r="F116" s="11">
        <f t="shared" si="5"/>
        <v>-69600000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346</v>
      </c>
      <c r="E117" s="11">
        <f t="shared" si="4"/>
        <v>0</v>
      </c>
      <c r="F117" s="11">
        <f t="shared" si="5"/>
        <v>-155873000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346</v>
      </c>
      <c r="E118" s="11">
        <f t="shared" si="4"/>
        <v>0</v>
      </c>
      <c r="F118" s="11">
        <f t="shared" si="5"/>
        <v>-69200000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340</v>
      </c>
      <c r="E119" s="11">
        <f t="shared" si="4"/>
        <v>0</v>
      </c>
      <c r="F119" s="11">
        <f t="shared" si="5"/>
        <v>-52547000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340</v>
      </c>
      <c r="E120" s="11">
        <f t="shared" si="4"/>
        <v>0</v>
      </c>
      <c r="F120" s="11">
        <f t="shared" si="5"/>
        <v>-108800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339</v>
      </c>
      <c r="E121" s="11">
        <f t="shared" si="4"/>
        <v>0</v>
      </c>
      <c r="F121" s="11">
        <f t="shared" si="5"/>
        <v>-146448000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333</v>
      </c>
      <c r="E122" s="11">
        <f t="shared" si="4"/>
        <v>1</v>
      </c>
      <c r="F122" s="11">
        <f t="shared" si="5"/>
        <v>24582276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312</v>
      </c>
      <c r="E123" s="11">
        <f t="shared" si="4"/>
        <v>0</v>
      </c>
      <c r="F123" s="11">
        <f t="shared" si="5"/>
        <v>-16224000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271</v>
      </c>
      <c r="E124" s="11">
        <f t="shared" si="4"/>
        <v>1</v>
      </c>
      <c r="F124" s="11">
        <f t="shared" si="5"/>
        <v>320490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270</v>
      </c>
      <c r="E125" s="11">
        <f t="shared" si="4"/>
        <v>1</v>
      </c>
      <c r="F125" s="11">
        <f t="shared" si="5"/>
        <v>645600000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268</v>
      </c>
      <c r="E126" s="11">
        <f t="shared" si="4"/>
        <v>1</v>
      </c>
      <c r="F126" s="11">
        <f t="shared" si="5"/>
        <v>358527600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268</v>
      </c>
      <c r="E127" s="11">
        <f t="shared" si="4"/>
        <v>1</v>
      </c>
      <c r="F127" s="11">
        <f t="shared" si="5"/>
        <v>358527600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256</v>
      </c>
      <c r="E128" s="11">
        <f t="shared" si="4"/>
        <v>0</v>
      </c>
      <c r="F128" s="11">
        <f t="shared" si="5"/>
        <v>-51200000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254</v>
      </c>
      <c r="E129" s="11">
        <f t="shared" si="4"/>
        <v>0</v>
      </c>
      <c r="F129" s="11">
        <f>B129*(D129-E129)</f>
        <v>-3966972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253</v>
      </c>
      <c r="E130" s="11">
        <f t="shared" si="4"/>
        <v>0</v>
      </c>
      <c r="F130" s="11">
        <f t="shared" si="5"/>
        <v>-50600000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252</v>
      </c>
      <c r="E131" s="11">
        <f t="shared" ref="E131:E201" si="7">IF(B131&gt;0,1,0)</f>
        <v>0</v>
      </c>
      <c r="F131" s="11">
        <f t="shared" si="5"/>
        <v>-50400000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251</v>
      </c>
      <c r="E132" s="11">
        <f t="shared" si="7"/>
        <v>0</v>
      </c>
      <c r="F132" s="11">
        <f t="shared" si="5"/>
        <v>-97890000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251</v>
      </c>
      <c r="E133" s="11">
        <f t="shared" si="7"/>
        <v>0</v>
      </c>
      <c r="F133" s="11">
        <f t="shared" si="5"/>
        <v>-6149500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250</v>
      </c>
      <c r="E134" s="11">
        <f t="shared" si="7"/>
        <v>0</v>
      </c>
      <c r="F134" s="11">
        <f t="shared" si="5"/>
        <v>-23750000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246</v>
      </c>
      <c r="E135" s="11">
        <f t="shared" si="7"/>
        <v>0</v>
      </c>
      <c r="F135" s="11">
        <f t="shared" si="5"/>
        <v>-49200000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244</v>
      </c>
      <c r="E136" s="11">
        <f t="shared" si="7"/>
        <v>1</v>
      </c>
      <c r="F136" s="11">
        <f t="shared" si="5"/>
        <v>12150000000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243</v>
      </c>
      <c r="E137" s="11">
        <f t="shared" si="7"/>
        <v>1</v>
      </c>
      <c r="F137" s="11">
        <f t="shared" si="5"/>
        <v>2904000000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241</v>
      </c>
      <c r="E138" s="11">
        <f t="shared" si="7"/>
        <v>1</v>
      </c>
      <c r="F138" s="11">
        <f t="shared" si="5"/>
        <v>480000000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240</v>
      </c>
      <c r="E139" s="11">
        <f t="shared" si="7"/>
        <v>1</v>
      </c>
      <c r="F139" s="11">
        <f t="shared" si="5"/>
        <v>20921582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227</v>
      </c>
      <c r="E140" s="11">
        <f t="shared" si="7"/>
        <v>0</v>
      </c>
      <c r="F140" s="11">
        <f t="shared" si="5"/>
        <v>-681204300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226</v>
      </c>
      <c r="E141" s="11">
        <f t="shared" si="7"/>
        <v>0</v>
      </c>
      <c r="F141" s="11">
        <f t="shared" si="5"/>
        <v>-678203400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209</v>
      </c>
      <c r="E142" s="11">
        <f t="shared" si="7"/>
        <v>1</v>
      </c>
      <c r="F142" s="11">
        <f t="shared" si="5"/>
        <v>125221200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209</v>
      </c>
      <c r="E143" s="11">
        <f t="shared" si="7"/>
        <v>0</v>
      </c>
      <c r="F143" s="11">
        <f t="shared" si="5"/>
        <v>-9614000000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178</v>
      </c>
      <c r="E144" s="11">
        <f t="shared" si="7"/>
        <v>1</v>
      </c>
      <c r="F144" s="11">
        <f t="shared" si="5"/>
        <v>27276939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177</v>
      </c>
      <c r="E145" s="11">
        <f t="shared" si="7"/>
        <v>1</v>
      </c>
      <c r="F145" s="11">
        <f t="shared" si="5"/>
        <v>528000000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174</v>
      </c>
      <c r="E146" s="11">
        <f t="shared" si="7"/>
        <v>0</v>
      </c>
      <c r="F146" s="11">
        <f t="shared" si="5"/>
        <v>-34800000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169</v>
      </c>
      <c r="E147" s="11">
        <f t="shared" si="7"/>
        <v>0</v>
      </c>
      <c r="F147" s="11">
        <f t="shared" si="5"/>
        <v>-33800000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168</v>
      </c>
      <c r="E148" s="11">
        <f t="shared" si="7"/>
        <v>0</v>
      </c>
      <c r="F148" s="11">
        <f t="shared" si="5"/>
        <v>-33600000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164</v>
      </c>
      <c r="E149" s="11">
        <f t="shared" si="7"/>
        <v>0</v>
      </c>
      <c r="F149" s="11">
        <f t="shared" si="5"/>
        <v>-32800000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163</v>
      </c>
      <c r="E150" s="11">
        <f t="shared" si="7"/>
        <v>1</v>
      </c>
      <c r="F150" s="11">
        <f t="shared" si="5"/>
        <v>3899890800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161</v>
      </c>
      <c r="E151" s="11">
        <f t="shared" si="7"/>
        <v>0</v>
      </c>
      <c r="F151" s="11">
        <f t="shared" si="5"/>
        <v>-32200000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155</v>
      </c>
      <c r="E152" s="11">
        <f t="shared" si="7"/>
        <v>0</v>
      </c>
      <c r="F152" s="11">
        <f t="shared" si="5"/>
        <v>-4650000000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154</v>
      </c>
      <c r="E153" s="11">
        <f t="shared" si="7"/>
        <v>0</v>
      </c>
      <c r="F153" s="11">
        <f t="shared" si="5"/>
        <v>-8008000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154</v>
      </c>
      <c r="E154" s="11">
        <f t="shared" si="7"/>
        <v>0</v>
      </c>
      <c r="F154" s="11">
        <f t="shared" si="5"/>
        <v>-20944000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149</v>
      </c>
      <c r="E155" s="11">
        <f t="shared" si="7"/>
        <v>1</v>
      </c>
      <c r="F155" s="11">
        <f t="shared" si="5"/>
        <v>444000000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148</v>
      </c>
      <c r="E156" s="11">
        <f t="shared" si="7"/>
        <v>1</v>
      </c>
      <c r="F156" s="11">
        <f t="shared" si="5"/>
        <v>27798141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148</v>
      </c>
      <c r="E157" s="11">
        <f t="shared" si="7"/>
        <v>1</v>
      </c>
      <c r="F157" s="11">
        <f t="shared" si="5"/>
        <v>3561471900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140</v>
      </c>
      <c r="E158" s="11">
        <f t="shared" si="7"/>
        <v>1</v>
      </c>
      <c r="F158" s="11">
        <f t="shared" si="5"/>
        <v>3377032800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140</v>
      </c>
      <c r="E159" s="11">
        <f t="shared" si="7"/>
        <v>0</v>
      </c>
      <c r="F159" s="11">
        <f t="shared" si="5"/>
        <v>-28140000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135</v>
      </c>
      <c r="E160" s="11">
        <f t="shared" si="7"/>
        <v>0</v>
      </c>
      <c r="F160" s="11">
        <f t="shared" si="5"/>
        <v>-27000000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132</v>
      </c>
      <c r="E161" s="11">
        <f t="shared" si="7"/>
        <v>0</v>
      </c>
      <c r="F161" s="11">
        <f t="shared" si="5"/>
        <v>-26400000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128</v>
      </c>
      <c r="E162" s="11">
        <f t="shared" si="7"/>
        <v>0</v>
      </c>
      <c r="F162" s="11">
        <f t="shared" si="5"/>
        <v>-25600000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125</v>
      </c>
      <c r="E163" s="11">
        <f t="shared" si="7"/>
        <v>0</v>
      </c>
      <c r="F163" s="11">
        <f t="shared" si="5"/>
        <v>-25000000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118</v>
      </c>
      <c r="E164" s="11">
        <f t="shared" si="7"/>
        <v>1</v>
      </c>
      <c r="F164" s="11">
        <f t="shared" si="5"/>
        <v>53547858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115</v>
      </c>
      <c r="E165" s="11">
        <f t="shared" si="7"/>
        <v>1</v>
      </c>
      <c r="F165" s="11">
        <f t="shared" si="5"/>
        <v>307800000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115</v>
      </c>
      <c r="E166" s="11">
        <f t="shared" si="7"/>
        <v>1</v>
      </c>
      <c r="F166" s="11">
        <f t="shared" si="5"/>
        <v>285000000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108</v>
      </c>
      <c r="E167" s="11">
        <f t="shared" si="7"/>
        <v>0</v>
      </c>
      <c r="F167" s="11">
        <f t="shared" si="5"/>
        <v>-21600000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106</v>
      </c>
      <c r="E168" s="11">
        <f t="shared" si="7"/>
        <v>0</v>
      </c>
      <c r="F168" s="11">
        <f t="shared" si="5"/>
        <v>-21200000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100</v>
      </c>
      <c r="E169" s="11">
        <f t="shared" si="7"/>
        <v>0</v>
      </c>
      <c r="F169" s="11">
        <f t="shared" si="5"/>
        <v>-20000000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97</v>
      </c>
      <c r="E170" s="11">
        <f t="shared" si="7"/>
        <v>0</v>
      </c>
      <c r="F170" s="11">
        <f t="shared" si="5"/>
        <v>-19400000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97</v>
      </c>
      <c r="E171" s="11">
        <f t="shared" si="7"/>
        <v>1</v>
      </c>
      <c r="F171" s="11">
        <f t="shared" si="5"/>
        <v>288000000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94</v>
      </c>
      <c r="E172" s="11">
        <f t="shared" si="7"/>
        <v>0</v>
      </c>
      <c r="F172" s="11">
        <f t="shared" si="5"/>
        <v>-18800000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93</v>
      </c>
      <c r="E173" s="11">
        <f t="shared" si="7"/>
        <v>1</v>
      </c>
      <c r="F173" s="11">
        <f t="shared" si="5"/>
        <v>276000000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92</v>
      </c>
      <c r="E174" s="11">
        <f t="shared" si="7"/>
        <v>1</v>
      </c>
      <c r="F174" s="11">
        <f t="shared" si="5"/>
        <v>182000000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91</v>
      </c>
      <c r="E175" s="11">
        <f t="shared" si="7"/>
        <v>1</v>
      </c>
      <c r="F175" s="11">
        <f t="shared" si="5"/>
        <v>117000000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89</v>
      </c>
      <c r="E176" s="11">
        <f t="shared" si="7"/>
        <v>0</v>
      </c>
      <c r="F176" s="11">
        <f t="shared" si="5"/>
        <v>-17800000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89</v>
      </c>
      <c r="E177" s="11">
        <f t="shared" si="7"/>
        <v>1</v>
      </c>
      <c r="F177" s="11">
        <f t="shared" si="5"/>
        <v>149600000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88</v>
      </c>
      <c r="E178" s="11">
        <f t="shared" si="7"/>
        <v>0</v>
      </c>
      <c r="F178" s="11">
        <f t="shared" si="5"/>
        <v>-17600000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87</v>
      </c>
      <c r="E179" s="11">
        <f t="shared" si="7"/>
        <v>1</v>
      </c>
      <c r="F179" s="11">
        <f t="shared" si="5"/>
        <v>49148312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84</v>
      </c>
      <c r="E180" s="11">
        <f t="shared" si="7"/>
        <v>1</v>
      </c>
      <c r="F180" s="11">
        <f t="shared" si="5"/>
        <v>249000000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77</v>
      </c>
      <c r="E181" s="11">
        <f t="shared" si="7"/>
        <v>1</v>
      </c>
      <c r="F181" s="11">
        <f t="shared" si="5"/>
        <v>152000000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69</v>
      </c>
      <c r="E182" s="11">
        <f t="shared" si="7"/>
        <v>0</v>
      </c>
      <c r="F182" s="11">
        <f t="shared" si="5"/>
        <v>-151848300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57</v>
      </c>
      <c r="E183" s="11">
        <f t="shared" si="7"/>
        <v>1</v>
      </c>
      <c r="F183" s="11">
        <f t="shared" si="5"/>
        <v>37804872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27</v>
      </c>
      <c r="E184" s="11">
        <f t="shared" si="7"/>
        <v>1</v>
      </c>
      <c r="F184" s="11">
        <f t="shared" si="5"/>
        <v>17602000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12</v>
      </c>
      <c r="E185" s="11">
        <f t="shared" si="7"/>
        <v>0</v>
      </c>
      <c r="F185" s="11">
        <f t="shared" si="5"/>
        <v>-120000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7</v>
      </c>
      <c r="E186" s="11">
        <f t="shared" si="7"/>
        <v>0</v>
      </c>
      <c r="F186" s="11">
        <f t="shared" si="5"/>
        <v>-563500000</v>
      </c>
      <c r="G186" s="11" t="s">
        <v>1070</v>
      </c>
    </row>
    <row r="187" spans="1:7" x14ac:dyDescent="0.25">
      <c r="A187" s="11" t="s">
        <v>1069</v>
      </c>
      <c r="B187" s="3">
        <v>-1100000</v>
      </c>
      <c r="C187" s="11">
        <v>0</v>
      </c>
      <c r="D187" s="11">
        <f t="shared" si="8"/>
        <v>2</v>
      </c>
      <c r="E187" s="11">
        <f t="shared" si="7"/>
        <v>0</v>
      </c>
      <c r="F187" s="11">
        <f t="shared" si="5"/>
        <v>-2200000</v>
      </c>
      <c r="G187" s="11" t="s">
        <v>1070</v>
      </c>
    </row>
    <row r="188" spans="1:7" x14ac:dyDescent="0.25">
      <c r="A188" s="11" t="s">
        <v>1069</v>
      </c>
      <c r="B188" s="3">
        <v>3000000</v>
      </c>
      <c r="C188" s="11">
        <v>1</v>
      </c>
      <c r="D188" s="11">
        <f t="shared" si="8"/>
        <v>2</v>
      </c>
      <c r="E188" s="11">
        <f t="shared" si="7"/>
        <v>1</v>
      </c>
      <c r="F188" s="11">
        <f t="shared" si="5"/>
        <v>3000000</v>
      </c>
      <c r="G188" s="11" t="s">
        <v>1083</v>
      </c>
    </row>
    <row r="189" spans="1:7" x14ac:dyDescent="0.25">
      <c r="A189" s="11" t="s">
        <v>1082</v>
      </c>
      <c r="B189" s="3">
        <v>1945000</v>
      </c>
      <c r="C189" s="11">
        <v>1</v>
      </c>
      <c r="D189" s="11">
        <f t="shared" si="8"/>
        <v>1</v>
      </c>
      <c r="E189" s="11">
        <f t="shared" si="7"/>
        <v>1</v>
      </c>
      <c r="F189" s="11">
        <f t="shared" si="5"/>
        <v>0</v>
      </c>
      <c r="G189" s="11" t="s">
        <v>1083</v>
      </c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6561399</v>
      </c>
      <c r="C202" s="11"/>
      <c r="D202" s="11"/>
      <c r="E202" s="11"/>
      <c r="F202" s="29">
        <f>SUM(F2:F200)</f>
        <v>18258024896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27789992.231354643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Normal="100" workbookViewId="0">
      <selection activeCell="O16" sqref="O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152000000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208000000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90257158.175000012</v>
      </c>
      <c r="G14" s="29">
        <f t="shared" si="0"/>
        <v>-17237746.636218876</v>
      </c>
      <c r="H14" s="11"/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1063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6561399</v>
      </c>
      <c r="M16" s="11" t="s">
        <v>757</v>
      </c>
      <c r="N16" s="29">
        <f>'مسکن مریم یاران'!B127</f>
        <v>12309793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550000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فروش'!C69</f>
        <v>171208508.67500001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1060</v>
      </c>
      <c r="L24" s="43">
        <f>-'لیست خرید و فروش'!F89</f>
        <v>-87197842.5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1061</v>
      </c>
      <c r="N25" s="29">
        <f>-L24</f>
        <v>87197842.5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90257158.175000012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7746492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147257158.17500001</v>
      </c>
      <c r="M28" s="29" t="s">
        <v>6</v>
      </c>
      <c r="N28" s="29">
        <f>SUM(N16:N27)</f>
        <v>152029448.5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2018-03-18T21:10:33Z</dcterms:modified>
</cp:coreProperties>
</file>