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7"/>
  </bookViews>
  <sheets>
    <sheet name="AgentBased" sheetId="44" r:id="rId1"/>
    <sheet name="اسفند97" sheetId="57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خرید و فروش سکه فیزیکی" sheetId="52" r:id="rId8"/>
    <sheet name="strategy" sheetId="49" r:id="rId9"/>
    <sheet name="مسکن مریم سید الشهدا" sheetId="14" r:id="rId10"/>
    <sheet name="بدهی خانه" sheetId="10" r:id="rId11"/>
    <sheet name="اردیبهشت95" sheetId="5" r:id="rId12"/>
    <sheet name="خرداد 95" sheetId="4" r:id="rId13"/>
    <sheet name="تیرماه95" sheetId="2" r:id="rId14"/>
    <sheet name="مرداد 95" sheetId="3" r:id="rId15"/>
    <sheet name="شهریور 95" sheetId="6" r:id="rId16"/>
    <sheet name="مهر 95" sheetId="7" r:id="rId17"/>
    <sheet name="آبان 95" sheetId="8" r:id="rId18"/>
    <sheet name="آذر 95" sheetId="9" r:id="rId19"/>
    <sheet name="دی 95" sheetId="11" r:id="rId20"/>
    <sheet name="بهمن 95" sheetId="12" r:id="rId21"/>
    <sheet name="اسفند 95" sheetId="17" r:id="rId22"/>
    <sheet name="فروردین 96" sheetId="19" r:id="rId23"/>
    <sheet name="اردیبهشت 96" sheetId="21" r:id="rId24"/>
    <sheet name="خرداد 96" sheetId="22" r:id="rId25"/>
    <sheet name="تیر 96" sheetId="23" r:id="rId26"/>
    <sheet name="مرداد 96" sheetId="24" r:id="rId27"/>
    <sheet name="شهریور 96" sheetId="25" r:id="rId28"/>
    <sheet name="مهر96" sheetId="26" r:id="rId29"/>
    <sheet name="آبان 96" sheetId="27" r:id="rId30"/>
    <sheet name="آذر 96" sheetId="28" r:id="rId31"/>
    <sheet name="دی 96" sheetId="29" r:id="rId32"/>
    <sheet name="بهمن 96" sheetId="30" r:id="rId33"/>
    <sheet name="اسفند 96" sheetId="31" r:id="rId34"/>
    <sheet name="فروردین 97" sheetId="34" r:id="rId35"/>
    <sheet name="اردیبهشت 97" sheetId="38" r:id="rId36"/>
    <sheet name="خرداد 97" sheetId="42" r:id="rId37"/>
    <sheet name="تیر97" sheetId="43" r:id="rId38"/>
    <sheet name="مرداد97" sheetId="45" r:id="rId39"/>
    <sheet name="شهریور97" sheetId="46" r:id="rId40"/>
    <sheet name="مهر97" sheetId="48" r:id="rId41"/>
    <sheet name="آبان97" sheetId="50" r:id="rId42"/>
    <sheet name="آذر 97" sheetId="51" r:id="rId43"/>
    <sheet name="دی 97" sheetId="54" r:id="rId44"/>
    <sheet name="بهمن 97" sheetId="55" r:id="rId45"/>
    <sheet name="لیست خرید و فروش" sheetId="32" r:id="rId46"/>
    <sheet name="اوراق بدون ریسک" sheetId="33" r:id="rId47"/>
    <sheet name="نکات" sheetId="35" r:id="rId48"/>
    <sheet name="سکه" sheetId="36" r:id="rId49"/>
    <sheet name="apply" sheetId="37" r:id="rId50"/>
    <sheet name="بیمه" sheetId="39" r:id="rId51"/>
    <sheet name="آرشیو قیمت ارجینال" sheetId="40" r:id="rId52"/>
    <sheet name="تحلیل1" sheetId="41" r:id="rId53"/>
    <sheet name="Sheet1" sheetId="53" r:id="rId54"/>
    <sheet name="صبحانه" sheetId="56" r:id="rId55"/>
  </sheets>
  <calcPr calcId="145621"/>
</workbook>
</file>

<file path=xl/calcChain.xml><?xml version="1.0" encoding="utf-8"?>
<calcChain xmlns="http://schemas.openxmlformats.org/spreadsheetml/2006/main">
  <c r="D340" i="20" l="1"/>
  <c r="P35" i="18"/>
  <c r="N35" i="18" s="1"/>
  <c r="N63" i="18"/>
  <c r="P27" i="18"/>
  <c r="N27" i="18" s="1"/>
  <c r="D84" i="52"/>
  <c r="P23" i="18"/>
  <c r="N51" i="18"/>
  <c r="P155" i="18"/>
  <c r="U220" i="18"/>
  <c r="W215" i="18"/>
  <c r="H337" i="20"/>
  <c r="H338" i="20"/>
  <c r="H339" i="20"/>
  <c r="H340" i="20"/>
  <c r="H341" i="20"/>
  <c r="H342" i="20"/>
  <c r="H343" i="20"/>
  <c r="H344" i="20"/>
  <c r="H345" i="20"/>
  <c r="H346" i="20"/>
  <c r="H347" i="20"/>
  <c r="H348" i="20"/>
  <c r="H349" i="20"/>
  <c r="H350" i="20"/>
  <c r="H351" i="20"/>
  <c r="H352" i="20"/>
  <c r="H353" i="20"/>
  <c r="H354" i="20"/>
  <c r="H355" i="20"/>
  <c r="H356" i="20"/>
  <c r="H357" i="20"/>
  <c r="H358" i="20"/>
  <c r="H359" i="20"/>
  <c r="H360" i="20"/>
  <c r="H361" i="20"/>
  <c r="H362" i="20"/>
  <c r="H363" i="20"/>
  <c r="H364" i="20"/>
  <c r="H365" i="20"/>
  <c r="H366" i="20"/>
  <c r="H367" i="20"/>
  <c r="G368" i="20"/>
  <c r="I368" i="20" s="1"/>
  <c r="H368" i="20"/>
  <c r="G369" i="20"/>
  <c r="H369" i="20"/>
  <c r="K369" i="20" s="1"/>
  <c r="I369" i="20"/>
  <c r="J369" i="20"/>
  <c r="D339" i="20"/>
  <c r="K368" i="20" l="1"/>
  <c r="J368" i="20"/>
  <c r="G367" i="20"/>
  <c r="O82" i="18"/>
  <c r="O81" i="18"/>
  <c r="O80" i="18"/>
  <c r="B371" i="20"/>
  <c r="D332" i="20"/>
  <c r="D333" i="20"/>
  <c r="D334" i="20"/>
  <c r="D335" i="20"/>
  <c r="D336" i="20"/>
  <c r="D337" i="20"/>
  <c r="D338" i="20"/>
  <c r="D369" i="20"/>
  <c r="I367" i="20" l="1"/>
  <c r="G366" i="20"/>
  <c r="J367" i="20"/>
  <c r="K367" i="20"/>
  <c r="P33" i="18"/>
  <c r="N33" i="18" s="1"/>
  <c r="P24" i="18"/>
  <c r="N24" i="18" s="1"/>
  <c r="N52" i="18"/>
  <c r="G365" i="20" l="1"/>
  <c r="J366" i="20"/>
  <c r="K366" i="20"/>
  <c r="I366" i="20"/>
  <c r="AJ208" i="18"/>
  <c r="K365" i="20" l="1"/>
  <c r="I365" i="20"/>
  <c r="G364" i="20"/>
  <c r="J365" i="20"/>
  <c r="W214" i="18"/>
  <c r="D74" i="57"/>
  <c r="G363" i="20" l="1"/>
  <c r="I364" i="20"/>
  <c r="J364" i="20"/>
  <c r="K364" i="20"/>
  <c r="AD46" i="52"/>
  <c r="AE46" i="52"/>
  <c r="G46" i="10"/>
  <c r="I363" i="20" l="1"/>
  <c r="G362" i="20"/>
  <c r="J363" i="20"/>
  <c r="K363" i="20"/>
  <c r="D331" i="20"/>
  <c r="G361" i="20" l="1"/>
  <c r="J362" i="20"/>
  <c r="K362" i="20"/>
  <c r="I362" i="20"/>
  <c r="D330" i="20"/>
  <c r="K361" i="20" l="1"/>
  <c r="I361" i="20"/>
  <c r="G360" i="20"/>
  <c r="J361" i="20"/>
  <c r="AJ148" i="18"/>
  <c r="I360" i="20" l="1"/>
  <c r="G359" i="20"/>
  <c r="J360" i="20"/>
  <c r="K360" i="20"/>
  <c r="W213" i="18"/>
  <c r="W212" i="18"/>
  <c r="I359" i="20" l="1"/>
  <c r="G358" i="20"/>
  <c r="J359" i="20"/>
  <c r="K359" i="20"/>
  <c r="D329" i="20"/>
  <c r="G357" i="20" l="1"/>
  <c r="J358" i="20"/>
  <c r="K358" i="20"/>
  <c r="I358" i="20"/>
  <c r="M41" i="52"/>
  <c r="AD45" i="52"/>
  <c r="AC54" i="52" s="1"/>
  <c r="AE45" i="52"/>
  <c r="AD44" i="52"/>
  <c r="AE44" i="52"/>
  <c r="K357" i="20" l="1"/>
  <c r="I357" i="20"/>
  <c r="G356" i="20"/>
  <c r="J357" i="20"/>
  <c r="Z41" i="52"/>
  <c r="AD41" i="52"/>
  <c r="AE41" i="52"/>
  <c r="I356" i="20" l="1"/>
  <c r="G355" i="20"/>
  <c r="J356" i="20"/>
  <c r="K356" i="20"/>
  <c r="D328" i="20"/>
  <c r="D327" i="20"/>
  <c r="I355" i="20" l="1"/>
  <c r="G354" i="20"/>
  <c r="J355" i="20"/>
  <c r="K355" i="20"/>
  <c r="AD43" i="52"/>
  <c r="AC51" i="52" s="1"/>
  <c r="Z43" i="52"/>
  <c r="AE43" i="52"/>
  <c r="O74" i="52"/>
  <c r="O75" i="52"/>
  <c r="O76" i="52"/>
  <c r="O77" i="52"/>
  <c r="O78" i="52"/>
  <c r="O79" i="52"/>
  <c r="O80" i="52"/>
  <c r="O81" i="52"/>
  <c r="O82" i="52"/>
  <c r="O83" i="52"/>
  <c r="O84" i="52"/>
  <c r="O85" i="52"/>
  <c r="O86" i="52"/>
  <c r="O87" i="52"/>
  <c r="O88" i="52"/>
  <c r="O89" i="52"/>
  <c r="O90" i="52"/>
  <c r="N74" i="52"/>
  <c r="N75" i="52"/>
  <c r="N76" i="52"/>
  <c r="N77" i="52"/>
  <c r="N78" i="52"/>
  <c r="N79" i="52"/>
  <c r="N80" i="52"/>
  <c r="N81" i="52"/>
  <c r="N82" i="52"/>
  <c r="N83" i="52"/>
  <c r="N84" i="52"/>
  <c r="P84" i="52" s="1"/>
  <c r="N85" i="52"/>
  <c r="P85" i="52" s="1"/>
  <c r="N86" i="52"/>
  <c r="N87" i="52"/>
  <c r="N88" i="52"/>
  <c r="P88" i="52" s="1"/>
  <c r="N89" i="52"/>
  <c r="P89" i="52" s="1"/>
  <c r="N90" i="52"/>
  <c r="J75" i="52"/>
  <c r="J76" i="52"/>
  <c r="J77" i="52"/>
  <c r="J78" i="52"/>
  <c r="J79" i="52"/>
  <c r="J80" i="52"/>
  <c r="J81" i="52"/>
  <c r="J82" i="52"/>
  <c r="J83" i="52"/>
  <c r="J84" i="52"/>
  <c r="J85" i="52"/>
  <c r="J86" i="52"/>
  <c r="J87" i="52"/>
  <c r="J88" i="52"/>
  <c r="J89" i="52"/>
  <c r="J90" i="52"/>
  <c r="G353" i="20" l="1"/>
  <c r="J354" i="20"/>
  <c r="K354" i="20"/>
  <c r="I354" i="20"/>
  <c r="P81" i="52"/>
  <c r="P79" i="52"/>
  <c r="P80" i="52"/>
  <c r="P90" i="52"/>
  <c r="P86" i="52"/>
  <c r="P82" i="52"/>
  <c r="P78" i="52"/>
  <c r="P77" i="52"/>
  <c r="P76" i="52"/>
  <c r="P75" i="52"/>
  <c r="P87" i="52"/>
  <c r="P83" i="52"/>
  <c r="K353" i="20" l="1"/>
  <c r="I353" i="20"/>
  <c r="G352" i="20"/>
  <c r="J353" i="20"/>
  <c r="Z42" i="52"/>
  <c r="AD42" i="52"/>
  <c r="AE42" i="52"/>
  <c r="N59" i="18"/>
  <c r="M119" i="18" s="1"/>
  <c r="D326" i="20"/>
  <c r="D325" i="20"/>
  <c r="I352" i="20" l="1"/>
  <c r="G351" i="20"/>
  <c r="J352" i="20"/>
  <c r="K352" i="20"/>
  <c r="H320" i="20"/>
  <c r="H321" i="20"/>
  <c r="H322" i="20"/>
  <c r="H323" i="20"/>
  <c r="H324" i="20"/>
  <c r="H325" i="20"/>
  <c r="H326" i="20"/>
  <c r="H327" i="20"/>
  <c r="H328" i="20"/>
  <c r="H329" i="20"/>
  <c r="H330" i="20"/>
  <c r="H331" i="20"/>
  <c r="H332" i="20"/>
  <c r="H333" i="20"/>
  <c r="H334" i="20"/>
  <c r="H335" i="20"/>
  <c r="H336" i="20"/>
  <c r="D324" i="20"/>
  <c r="D323" i="20"/>
  <c r="D322" i="20"/>
  <c r="D321" i="20"/>
  <c r="I351" i="20" l="1"/>
  <c r="G350" i="20"/>
  <c r="J351" i="20"/>
  <c r="K351" i="20"/>
  <c r="D320" i="20"/>
  <c r="D319" i="20"/>
  <c r="G349" i="20" l="1"/>
  <c r="J350" i="20"/>
  <c r="K350" i="20"/>
  <c r="I350" i="20"/>
  <c r="D318" i="20"/>
  <c r="D317" i="20"/>
  <c r="K349" i="20" l="1"/>
  <c r="I349" i="20"/>
  <c r="G348" i="20"/>
  <c r="J349" i="20"/>
  <c r="W211" i="18"/>
  <c r="W210" i="18"/>
  <c r="G133" i="18"/>
  <c r="J133" i="18" s="1"/>
  <c r="G132" i="18"/>
  <c r="J132" i="18" s="1"/>
  <c r="G131" i="18"/>
  <c r="J131" i="18" s="1"/>
  <c r="G130" i="18"/>
  <c r="J130" i="18" s="1"/>
  <c r="I348" i="20" l="1"/>
  <c r="G347" i="20"/>
  <c r="J348" i="20"/>
  <c r="K348" i="20"/>
  <c r="J134" i="18"/>
  <c r="Z40" i="52"/>
  <c r="Z39" i="52"/>
  <c r="Z38" i="52"/>
  <c r="AD38" i="52"/>
  <c r="AD39" i="52"/>
  <c r="AD40" i="52"/>
  <c r="AE40" i="52"/>
  <c r="AE39" i="52"/>
  <c r="AE38" i="52"/>
  <c r="I347" i="20" l="1"/>
  <c r="G346" i="20"/>
  <c r="J347" i="20"/>
  <c r="K347" i="20"/>
  <c r="R172" i="18"/>
  <c r="R194" i="18"/>
  <c r="O69" i="52"/>
  <c r="O70" i="52"/>
  <c r="O71" i="52"/>
  <c r="O72" i="52"/>
  <c r="O73" i="52"/>
  <c r="O91" i="52"/>
  <c r="O68" i="52"/>
  <c r="J91" i="52"/>
  <c r="J66" i="52"/>
  <c r="J67" i="52"/>
  <c r="J68" i="52"/>
  <c r="J69" i="52"/>
  <c r="J70" i="52"/>
  <c r="J71" i="52"/>
  <c r="J72" i="52"/>
  <c r="J73" i="52"/>
  <c r="J74" i="52"/>
  <c r="J65" i="52"/>
  <c r="N69" i="52"/>
  <c r="N70" i="52"/>
  <c r="N71" i="52"/>
  <c r="N72" i="52"/>
  <c r="N73" i="52"/>
  <c r="P74" i="52" s="1"/>
  <c r="N68" i="52"/>
  <c r="P68" i="52" s="1"/>
  <c r="G345" i="20" l="1"/>
  <c r="J346" i="20"/>
  <c r="K346" i="20"/>
  <c r="I346" i="20"/>
  <c r="P70" i="52"/>
  <c r="P71" i="52"/>
  <c r="P69" i="52"/>
  <c r="P73" i="52"/>
  <c r="P91" i="52"/>
  <c r="P72" i="52"/>
  <c r="W209" i="18"/>
  <c r="W208" i="18"/>
  <c r="Y222" i="18"/>
  <c r="M48" i="52"/>
  <c r="L41" i="18" s="1"/>
  <c r="M47" i="52"/>
  <c r="N36" i="52"/>
  <c r="N35" i="52"/>
  <c r="Q42" i="52"/>
  <c r="AD37" i="52"/>
  <c r="AD36" i="52"/>
  <c r="AD35" i="52"/>
  <c r="AD34" i="52"/>
  <c r="AD33" i="52"/>
  <c r="Z37" i="52"/>
  <c r="Z36" i="52"/>
  <c r="Z35" i="52"/>
  <c r="Z34" i="52"/>
  <c r="Z33" i="52"/>
  <c r="AE37" i="52"/>
  <c r="AE36" i="52"/>
  <c r="AE35" i="52"/>
  <c r="AE34" i="52"/>
  <c r="AE33" i="52"/>
  <c r="K345" i="20" l="1"/>
  <c r="I345" i="20"/>
  <c r="G344" i="20"/>
  <c r="J345" i="20"/>
  <c r="C30" i="56"/>
  <c r="B30" i="56"/>
  <c r="I344" i="20" l="1"/>
  <c r="G343" i="20"/>
  <c r="J344" i="20"/>
  <c r="K344" i="20"/>
  <c r="R222" i="18"/>
  <c r="R250" i="18"/>
  <c r="W207" i="18"/>
  <c r="W206" i="18"/>
  <c r="N34" i="52"/>
  <c r="N33" i="52"/>
  <c r="P42" i="52"/>
  <c r="X228" i="18"/>
  <c r="I343" i="20" l="1"/>
  <c r="G342" i="20"/>
  <c r="J343" i="20"/>
  <c r="K343" i="20"/>
  <c r="AR16" i="18"/>
  <c r="G341" i="20" l="1"/>
  <c r="J342" i="20"/>
  <c r="K342" i="20"/>
  <c r="I342" i="20"/>
  <c r="D316" i="20"/>
  <c r="K341" i="20" l="1"/>
  <c r="I341" i="20"/>
  <c r="G340" i="20"/>
  <c r="J341" i="20"/>
  <c r="C2" i="57"/>
  <c r="C32" i="57" s="1"/>
  <c r="B2" i="57"/>
  <c r="L22" i="18"/>
  <c r="H31" i="57"/>
  <c r="G31" i="57"/>
  <c r="D31" i="57"/>
  <c r="I31" i="57" s="1"/>
  <c r="H30" i="57"/>
  <c r="G30" i="57"/>
  <c r="D30" i="57"/>
  <c r="I30" i="57" s="1"/>
  <c r="H29" i="57"/>
  <c r="G29" i="57"/>
  <c r="D29" i="57"/>
  <c r="I29" i="57" s="1"/>
  <c r="H28" i="57"/>
  <c r="G28" i="57"/>
  <c r="D28" i="57"/>
  <c r="I28" i="57" s="1"/>
  <c r="H27" i="57"/>
  <c r="G27" i="57"/>
  <c r="D27" i="57"/>
  <c r="I27" i="57" s="1"/>
  <c r="H26" i="57"/>
  <c r="G26" i="57"/>
  <c r="D26" i="57"/>
  <c r="I26" i="57" s="1"/>
  <c r="H25" i="57"/>
  <c r="G25" i="57"/>
  <c r="D25" i="57"/>
  <c r="I25" i="57" s="1"/>
  <c r="H24" i="57"/>
  <c r="G24" i="57"/>
  <c r="D24" i="57"/>
  <c r="I24" i="57" s="1"/>
  <c r="H23" i="57"/>
  <c r="G23" i="57"/>
  <c r="D23" i="57"/>
  <c r="I23" i="57" s="1"/>
  <c r="H22" i="57"/>
  <c r="G22" i="57"/>
  <c r="D22" i="57"/>
  <c r="I22" i="57" s="1"/>
  <c r="H21" i="57"/>
  <c r="G21" i="57"/>
  <c r="D21" i="57"/>
  <c r="I21" i="57" s="1"/>
  <c r="H20" i="57"/>
  <c r="G20" i="57"/>
  <c r="D20" i="57"/>
  <c r="I20" i="57" s="1"/>
  <c r="H19" i="57"/>
  <c r="G19" i="57"/>
  <c r="D19" i="57"/>
  <c r="I19" i="57" s="1"/>
  <c r="H18" i="57"/>
  <c r="G18" i="57"/>
  <c r="D18" i="57"/>
  <c r="I18" i="57" s="1"/>
  <c r="H17" i="57"/>
  <c r="G17" i="57"/>
  <c r="D17" i="57"/>
  <c r="I17" i="57" s="1"/>
  <c r="H16" i="57"/>
  <c r="G16" i="57"/>
  <c r="D16" i="57"/>
  <c r="I16" i="57" s="1"/>
  <c r="H15" i="57"/>
  <c r="G15" i="57"/>
  <c r="D15" i="57"/>
  <c r="I15" i="57" s="1"/>
  <c r="H14" i="57"/>
  <c r="G14" i="57"/>
  <c r="D14" i="57"/>
  <c r="I14" i="57" s="1"/>
  <c r="H13" i="57"/>
  <c r="G13" i="57"/>
  <c r="D13" i="57"/>
  <c r="I13" i="57" s="1"/>
  <c r="H12" i="57"/>
  <c r="G12" i="57"/>
  <c r="D12" i="57"/>
  <c r="I12" i="57" s="1"/>
  <c r="H11" i="57"/>
  <c r="G11" i="57"/>
  <c r="D11" i="57"/>
  <c r="I11" i="57" s="1"/>
  <c r="H10" i="57"/>
  <c r="G10" i="57"/>
  <c r="D10" i="57"/>
  <c r="I10" i="57" s="1"/>
  <c r="H9" i="57"/>
  <c r="G9" i="57"/>
  <c r="D9" i="57"/>
  <c r="I9" i="57" s="1"/>
  <c r="H8" i="57"/>
  <c r="G8" i="57"/>
  <c r="D8" i="57"/>
  <c r="I8" i="57" s="1"/>
  <c r="H7" i="57"/>
  <c r="G7" i="57"/>
  <c r="D7" i="57"/>
  <c r="I7" i="57" s="1"/>
  <c r="H6" i="57"/>
  <c r="G6" i="57"/>
  <c r="D6" i="57"/>
  <c r="I6" i="57" s="1"/>
  <c r="H5" i="57"/>
  <c r="G5" i="57"/>
  <c r="D5" i="57"/>
  <c r="I5" i="57" s="1"/>
  <c r="H4" i="57"/>
  <c r="G4" i="57"/>
  <c r="D4" i="57"/>
  <c r="I4" i="57" s="1"/>
  <c r="H3" i="57"/>
  <c r="G3" i="57"/>
  <c r="D3" i="57"/>
  <c r="I3" i="57" s="1"/>
  <c r="H2" i="57"/>
  <c r="G2" i="57"/>
  <c r="I340" i="20" l="1"/>
  <c r="G339" i="20"/>
  <c r="J340" i="20"/>
  <c r="K340" i="20"/>
  <c r="D2" i="57"/>
  <c r="B32" i="57"/>
  <c r="H33" i="57"/>
  <c r="G33" i="57"/>
  <c r="D315" i="20"/>
  <c r="D314" i="20"/>
  <c r="I339" i="20" l="1"/>
  <c r="G338" i="20"/>
  <c r="J339" i="20"/>
  <c r="K339" i="20"/>
  <c r="H38" i="57"/>
  <c r="I2" i="57"/>
  <c r="I33" i="57" s="1"/>
  <c r="I38" i="57" s="1"/>
  <c r="D32" i="57"/>
  <c r="Z26" i="52"/>
  <c r="AD32" i="52"/>
  <c r="Z32" i="52"/>
  <c r="AE32" i="52"/>
  <c r="G337" i="20" l="1"/>
  <c r="J338" i="20"/>
  <c r="K338" i="20"/>
  <c r="I338" i="20"/>
  <c r="W205" i="18"/>
  <c r="W204" i="18"/>
  <c r="AD31" i="52"/>
  <c r="AD30" i="52"/>
  <c r="Z31" i="52"/>
  <c r="Z30" i="52"/>
  <c r="AE31" i="52"/>
  <c r="AE30" i="52"/>
  <c r="AD29" i="52"/>
  <c r="Z29" i="52"/>
  <c r="AE29" i="52"/>
  <c r="AD28" i="52"/>
  <c r="Z28" i="52"/>
  <c r="AE28" i="52"/>
  <c r="N32" i="52"/>
  <c r="N31" i="52"/>
  <c r="AL207" i="18"/>
  <c r="AM207" i="18" s="1"/>
  <c r="AL206" i="18"/>
  <c r="AM206" i="18" s="1"/>
  <c r="AL203" i="18"/>
  <c r="AM203" i="18" s="1"/>
  <c r="P26" i="18"/>
  <c r="N26" i="18" s="1"/>
  <c r="P22" i="18"/>
  <c r="N22" i="18" s="1"/>
  <c r="P32" i="18"/>
  <c r="N32" i="18" s="1"/>
  <c r="K337" i="20" l="1"/>
  <c r="I337" i="20"/>
  <c r="J337" i="20"/>
  <c r="AL201" i="18"/>
  <c r="AM201" i="18" s="1"/>
  <c r="AL200" i="18"/>
  <c r="AM200" i="18" s="1"/>
  <c r="AL202" i="18"/>
  <c r="AL199" i="18" s="1"/>
  <c r="AM199" i="18" s="1"/>
  <c r="W203" i="18"/>
  <c r="W202" i="18"/>
  <c r="N30" i="52"/>
  <c r="N29" i="52"/>
  <c r="AD27" i="52"/>
  <c r="Z27" i="52"/>
  <c r="AE27" i="52"/>
  <c r="AM202" i="18" l="1"/>
  <c r="W201" i="18"/>
  <c r="W200" i="18"/>
  <c r="L47" i="52"/>
  <c r="N28" i="52"/>
  <c r="N27" i="52"/>
  <c r="AD26" i="52" l="1"/>
  <c r="AE26" i="52"/>
  <c r="N43" i="18"/>
  <c r="D313" i="20" l="1"/>
  <c r="L123" i="18" l="1"/>
  <c r="L118" i="18" l="1"/>
  <c r="L119" i="18"/>
  <c r="N119" i="18" s="1"/>
  <c r="M123" i="18"/>
  <c r="L112" i="18"/>
  <c r="W199" i="18"/>
  <c r="W198" i="18"/>
  <c r="N24" i="52"/>
  <c r="N26" i="52"/>
  <c r="N25" i="52"/>
  <c r="T236" i="18" l="1"/>
  <c r="N73" i="18"/>
  <c r="K122" i="18"/>
  <c r="L114" i="18"/>
  <c r="Z25" i="52"/>
  <c r="AD25" i="52"/>
  <c r="AE25" i="52"/>
  <c r="D312" i="20"/>
  <c r="D311" i="20"/>
  <c r="D310" i="20"/>
  <c r="H370" i="20"/>
  <c r="G370" i="20"/>
  <c r="H319" i="20"/>
  <c r="H318" i="20"/>
  <c r="H317" i="20"/>
  <c r="H316" i="20"/>
  <c r="H315" i="20"/>
  <c r="H314" i="20"/>
  <c r="H313" i="20"/>
  <c r="H312" i="20"/>
  <c r="H311" i="20"/>
  <c r="H310" i="20"/>
  <c r="H309" i="20"/>
  <c r="I370" i="20" l="1"/>
  <c r="J370" i="20"/>
  <c r="W197" i="18"/>
  <c r="W196" i="18"/>
  <c r="N23" i="52"/>
  <c r="N22" i="52"/>
  <c r="Z24" i="52"/>
  <c r="AD24" i="52"/>
  <c r="AE24" i="52"/>
  <c r="AL198" i="18" l="1"/>
  <c r="W195" i="18"/>
  <c r="W194" i="18"/>
  <c r="N21" i="52"/>
  <c r="N20" i="52"/>
  <c r="G336" i="20" l="1"/>
  <c r="AM198" i="18"/>
  <c r="AL197" i="18"/>
  <c r="D309" i="20"/>
  <c r="G335" i="20" l="1"/>
  <c r="K336" i="20"/>
  <c r="J336" i="20"/>
  <c r="I336" i="20"/>
  <c r="AL196" i="18"/>
  <c r="AM197" i="18"/>
  <c r="D308" i="20"/>
  <c r="I335" i="20" l="1"/>
  <c r="J335" i="20"/>
  <c r="K335" i="20"/>
  <c r="G334" i="20"/>
  <c r="AM196" i="18"/>
  <c r="AL195" i="18"/>
  <c r="N49" i="18"/>
  <c r="AL147" i="18"/>
  <c r="AL146" i="18" s="1"/>
  <c r="AL145" i="18" s="1"/>
  <c r="AL144" i="18" s="1"/>
  <c r="AL143" i="18" s="1"/>
  <c r="AL142" i="18" s="1"/>
  <c r="AL141" i="18" s="1"/>
  <c r="AL140" i="18" s="1"/>
  <c r="AL139" i="18" s="1"/>
  <c r="AL138" i="18" s="1"/>
  <c r="AL137" i="18" s="1"/>
  <c r="AL136" i="18" s="1"/>
  <c r="AM136" i="18" s="1"/>
  <c r="D307" i="20"/>
  <c r="I334" i="20" l="1"/>
  <c r="J334" i="20"/>
  <c r="G333" i="20"/>
  <c r="K334" i="20"/>
  <c r="M114" i="18"/>
  <c r="AL194" i="18"/>
  <c r="AM195" i="18"/>
  <c r="AM140" i="18"/>
  <c r="AM144" i="18"/>
  <c r="AM137" i="18"/>
  <c r="AM141" i="18"/>
  <c r="AM145" i="18"/>
  <c r="AM138" i="18"/>
  <c r="AM142" i="18"/>
  <c r="AM146" i="18"/>
  <c r="AM139" i="18"/>
  <c r="AM143" i="18"/>
  <c r="AM147" i="18"/>
  <c r="AD23" i="52"/>
  <c r="Z23" i="52"/>
  <c r="AE23" i="52"/>
  <c r="Z22" i="52"/>
  <c r="AD22" i="52"/>
  <c r="AE22" i="52"/>
  <c r="N60" i="18"/>
  <c r="I333" i="20" l="1"/>
  <c r="G332" i="20"/>
  <c r="J333" i="20"/>
  <c r="K333" i="20"/>
  <c r="W193" i="18"/>
  <c r="W192" i="18"/>
  <c r="G331" i="20" l="1"/>
  <c r="J332" i="20"/>
  <c r="K332" i="20"/>
  <c r="I332" i="20"/>
  <c r="AD21" i="52"/>
  <c r="AC21" i="52"/>
  <c r="AE21" i="52"/>
  <c r="AD20" i="52"/>
  <c r="AC20" i="52"/>
  <c r="AE20" i="52"/>
  <c r="I331" i="20" l="1"/>
  <c r="J331" i="20"/>
  <c r="K331" i="20"/>
  <c r="G330" i="20"/>
  <c r="G117" i="18"/>
  <c r="F117" i="18" s="1"/>
  <c r="G116" i="18"/>
  <c r="F116" i="18" s="1"/>
  <c r="G115" i="18"/>
  <c r="F115" i="18" s="1"/>
  <c r="G114" i="18"/>
  <c r="F114" i="18" s="1"/>
  <c r="G113" i="18"/>
  <c r="F113" i="18" s="1"/>
  <c r="G112" i="18"/>
  <c r="F112" i="18" s="1"/>
  <c r="P34" i="18"/>
  <c r="N34" i="18" s="1"/>
  <c r="P25" i="18"/>
  <c r="N25" i="18" s="1"/>
  <c r="I330" i="20" l="1"/>
  <c r="J330" i="20"/>
  <c r="K330" i="20"/>
  <c r="G329" i="20"/>
  <c r="D306" i="20"/>
  <c r="G328" i="20" l="1"/>
  <c r="J329" i="20"/>
  <c r="K329" i="20"/>
  <c r="I329" i="20"/>
  <c r="D305" i="20"/>
  <c r="I328" i="20" l="1"/>
  <c r="G327" i="20"/>
  <c r="K328" i="20"/>
  <c r="J328" i="20"/>
  <c r="AD19" i="52"/>
  <c r="AD18" i="52"/>
  <c r="Z19" i="52"/>
  <c r="Z18" i="52"/>
  <c r="AE19" i="52"/>
  <c r="AE18" i="52"/>
  <c r="I327" i="20" l="1"/>
  <c r="G326" i="20"/>
  <c r="J327" i="20"/>
  <c r="K327" i="20"/>
  <c r="D304" i="20"/>
  <c r="W191" i="18"/>
  <c r="W190" i="18"/>
  <c r="AD17" i="52"/>
  <c r="Z17" i="52"/>
  <c r="AE17" i="52"/>
  <c r="AD16" i="52"/>
  <c r="Z16" i="52"/>
  <c r="AE16" i="52"/>
  <c r="N17" i="52"/>
  <c r="N16" i="52"/>
  <c r="J326" i="20" l="1"/>
  <c r="K326" i="20"/>
  <c r="I326" i="20"/>
  <c r="G325" i="20"/>
  <c r="L113" i="18"/>
  <c r="L115" i="18"/>
  <c r="L116" i="18"/>
  <c r="L117" i="18"/>
  <c r="L120" i="18"/>
  <c r="I325" i="20" l="1"/>
  <c r="J325" i="20"/>
  <c r="K325" i="20"/>
  <c r="G324" i="20"/>
  <c r="W189" i="18"/>
  <c r="W188" i="18"/>
  <c r="D303" i="20"/>
  <c r="D302" i="20"/>
  <c r="W187" i="18"/>
  <c r="K324" i="20" l="1"/>
  <c r="I324" i="20"/>
  <c r="G323" i="20"/>
  <c r="J324" i="20"/>
  <c r="D301" i="20"/>
  <c r="D300" i="20"/>
  <c r="D299" i="20"/>
  <c r="I323" i="20" l="1"/>
  <c r="K323" i="20"/>
  <c r="G322" i="20"/>
  <c r="J323" i="20"/>
  <c r="Z15" i="52"/>
  <c r="AD15" i="52"/>
  <c r="AE15" i="52"/>
  <c r="P36" i="18"/>
  <c r="P31" i="18"/>
  <c r="P28" i="18"/>
  <c r="P21" i="18"/>
  <c r="D298" i="20"/>
  <c r="I322" i="20" l="1"/>
  <c r="J322" i="20"/>
  <c r="K322" i="20"/>
  <c r="G321" i="20"/>
  <c r="H297" i="20"/>
  <c r="H298" i="20"/>
  <c r="H299" i="20"/>
  <c r="H300" i="20"/>
  <c r="H301" i="20"/>
  <c r="H302" i="20"/>
  <c r="H303" i="20"/>
  <c r="H304" i="20"/>
  <c r="H305" i="20"/>
  <c r="H306" i="20"/>
  <c r="H307" i="20"/>
  <c r="H308" i="20"/>
  <c r="C371" i="20"/>
  <c r="D297" i="20"/>
  <c r="G320" i="20" l="1"/>
  <c r="J321" i="20"/>
  <c r="K321" i="20"/>
  <c r="I321" i="20"/>
  <c r="W185" i="18"/>
  <c r="N58" i="18"/>
  <c r="M118" i="18" s="1"/>
  <c r="N118" i="18" s="1"/>
  <c r="N56" i="18"/>
  <c r="M117" i="18" s="1"/>
  <c r="I320" i="20" l="1"/>
  <c r="J320" i="20"/>
  <c r="K320" i="20"/>
  <c r="G319" i="20"/>
  <c r="N117" i="18"/>
  <c r="AD14" i="52"/>
  <c r="AE14" i="52"/>
  <c r="AD13" i="52"/>
  <c r="AE13" i="52"/>
  <c r="Z14" i="52"/>
  <c r="D296" i="20"/>
  <c r="D295" i="20"/>
  <c r="I319" i="20" l="1"/>
  <c r="G318" i="20"/>
  <c r="K319" i="20"/>
  <c r="J319" i="20"/>
  <c r="W184" i="18"/>
  <c r="W183" i="18"/>
  <c r="L11" i="52"/>
  <c r="L10" i="52"/>
  <c r="AL193" i="18"/>
  <c r="AL192" i="18" s="1"/>
  <c r="AL191" i="18" s="1"/>
  <c r="C2" i="55"/>
  <c r="C32" i="55" s="1"/>
  <c r="B2" i="55"/>
  <c r="D63" i="55"/>
  <c r="H31" i="55"/>
  <c r="G31" i="55"/>
  <c r="D31" i="55"/>
  <c r="I31" i="55" s="1"/>
  <c r="H30" i="55"/>
  <c r="G30" i="55"/>
  <c r="D30" i="55"/>
  <c r="I30" i="55" s="1"/>
  <c r="H29" i="55"/>
  <c r="G29" i="55"/>
  <c r="D29" i="55"/>
  <c r="I29" i="55" s="1"/>
  <c r="H28" i="55"/>
  <c r="G28" i="55"/>
  <c r="D28" i="55"/>
  <c r="I28" i="55" s="1"/>
  <c r="H27" i="55"/>
  <c r="G27" i="55"/>
  <c r="D27" i="55"/>
  <c r="I27" i="55" s="1"/>
  <c r="H26" i="55"/>
  <c r="G26" i="55"/>
  <c r="D26" i="55"/>
  <c r="I26" i="55" s="1"/>
  <c r="H25" i="55"/>
  <c r="G25" i="55"/>
  <c r="D25" i="55"/>
  <c r="I25" i="55" s="1"/>
  <c r="H24" i="55"/>
  <c r="G24" i="55"/>
  <c r="D24" i="55"/>
  <c r="I24" i="55" s="1"/>
  <c r="H23" i="55"/>
  <c r="G23" i="55"/>
  <c r="D23" i="55"/>
  <c r="I23" i="55" s="1"/>
  <c r="H22" i="55"/>
  <c r="G22" i="55"/>
  <c r="D22" i="55"/>
  <c r="I22" i="55" s="1"/>
  <c r="H21" i="55"/>
  <c r="G21" i="55"/>
  <c r="D21" i="55"/>
  <c r="I21" i="55" s="1"/>
  <c r="H20" i="55"/>
  <c r="G20" i="55"/>
  <c r="D20" i="55"/>
  <c r="I20" i="55" s="1"/>
  <c r="H19" i="55"/>
  <c r="G19" i="55"/>
  <c r="D19" i="55"/>
  <c r="I19" i="55" s="1"/>
  <c r="H18" i="55"/>
  <c r="G18" i="55"/>
  <c r="D18" i="55"/>
  <c r="I18" i="55" s="1"/>
  <c r="H17" i="55"/>
  <c r="G17" i="55"/>
  <c r="D17" i="55"/>
  <c r="I17" i="55" s="1"/>
  <c r="H16" i="55"/>
  <c r="G16" i="55"/>
  <c r="D16" i="55"/>
  <c r="I16" i="55" s="1"/>
  <c r="H15" i="55"/>
  <c r="G15" i="55"/>
  <c r="D15" i="55"/>
  <c r="I15" i="55" s="1"/>
  <c r="H14" i="55"/>
  <c r="G14" i="55"/>
  <c r="D14" i="55"/>
  <c r="I14" i="55" s="1"/>
  <c r="H13" i="55"/>
  <c r="G13" i="55"/>
  <c r="D13" i="55"/>
  <c r="I13" i="55" s="1"/>
  <c r="H12" i="55"/>
  <c r="G12" i="55"/>
  <c r="D12" i="55"/>
  <c r="I12" i="55" s="1"/>
  <c r="H11" i="55"/>
  <c r="G11" i="55"/>
  <c r="D11" i="55"/>
  <c r="I11" i="55" s="1"/>
  <c r="H10" i="55"/>
  <c r="G10" i="55"/>
  <c r="D10" i="55"/>
  <c r="I10" i="55" s="1"/>
  <c r="H9" i="55"/>
  <c r="G9" i="55"/>
  <c r="D9" i="55"/>
  <c r="I9" i="55" s="1"/>
  <c r="H8" i="55"/>
  <c r="G8" i="55"/>
  <c r="D8" i="55"/>
  <c r="I8" i="55" s="1"/>
  <c r="H7" i="55"/>
  <c r="G7" i="55"/>
  <c r="D7" i="55"/>
  <c r="I7" i="55" s="1"/>
  <c r="H6" i="55"/>
  <c r="G6" i="55"/>
  <c r="D6" i="55"/>
  <c r="I6" i="55" s="1"/>
  <c r="H5" i="55"/>
  <c r="G5" i="55"/>
  <c r="D5" i="55"/>
  <c r="I5" i="55" s="1"/>
  <c r="H4" i="55"/>
  <c r="G4" i="55"/>
  <c r="D4" i="55"/>
  <c r="I4" i="55" s="1"/>
  <c r="H3" i="55"/>
  <c r="G3" i="55"/>
  <c r="D3" i="55"/>
  <c r="I3" i="55" s="1"/>
  <c r="B32" i="55"/>
  <c r="AD8" i="52"/>
  <c r="AD9" i="52"/>
  <c r="AD10" i="52"/>
  <c r="AD11" i="52"/>
  <c r="AD12" i="52"/>
  <c r="AD7" i="52"/>
  <c r="Z7" i="52"/>
  <c r="Z8" i="52"/>
  <c r="Z9" i="52"/>
  <c r="Z10" i="52"/>
  <c r="Z11" i="52"/>
  <c r="Z12" i="52"/>
  <c r="Z13" i="52"/>
  <c r="Z6" i="52"/>
  <c r="AE12" i="52"/>
  <c r="AE11" i="52"/>
  <c r="AE10" i="52"/>
  <c r="AE9" i="52"/>
  <c r="AE8" i="52"/>
  <c r="AE7" i="52"/>
  <c r="AD6" i="52"/>
  <c r="AE6" i="52"/>
  <c r="AC3" i="52"/>
  <c r="AC4" i="52"/>
  <c r="AC5" i="52"/>
  <c r="AC2" i="52"/>
  <c r="AE3" i="52"/>
  <c r="AE4" i="52"/>
  <c r="AE5" i="52"/>
  <c r="AE2" i="52"/>
  <c r="D294" i="20"/>
  <c r="J318" i="20" l="1"/>
  <c r="K318" i="20"/>
  <c r="G317" i="20"/>
  <c r="I318" i="20"/>
  <c r="H2" i="55"/>
  <c r="H33" i="55" s="1"/>
  <c r="AM194" i="18"/>
  <c r="AM193" i="18"/>
  <c r="AM192" i="18"/>
  <c r="G2" i="55"/>
  <c r="G33" i="55" s="1"/>
  <c r="D2" i="55"/>
  <c r="W182" i="18"/>
  <c r="W181" i="18"/>
  <c r="K317" i="20" l="1"/>
  <c r="J317" i="20"/>
  <c r="G316" i="20"/>
  <c r="I317" i="20"/>
  <c r="H38" i="55"/>
  <c r="I2" i="55"/>
  <c r="I33" i="55" s="1"/>
  <c r="I38" i="55" s="1"/>
  <c r="D32" i="55"/>
  <c r="D293" i="20"/>
  <c r="J316" i="20" l="1"/>
  <c r="G315" i="20"/>
  <c r="I316" i="20"/>
  <c r="K316" i="20"/>
  <c r="W180" i="18"/>
  <c r="N57" i="18"/>
  <c r="M116" i="18" s="1"/>
  <c r="N61" i="18"/>
  <c r="I315" i="20" l="1"/>
  <c r="K315" i="20"/>
  <c r="J315" i="20"/>
  <c r="G314" i="20"/>
  <c r="N116" i="18"/>
  <c r="D292" i="20"/>
  <c r="C8" i="36"/>
  <c r="W179" i="18"/>
  <c r="N5" i="52"/>
  <c r="J314" i="20" l="1"/>
  <c r="G313" i="20"/>
  <c r="I314" i="20"/>
  <c r="K314" i="20"/>
  <c r="N53" i="18"/>
  <c r="D291" i="20"/>
  <c r="K313" i="20" l="1"/>
  <c r="J313" i="20"/>
  <c r="G312" i="20"/>
  <c r="I313" i="20"/>
  <c r="D290" i="20"/>
  <c r="K312" i="20" l="1"/>
  <c r="J312" i="20"/>
  <c r="G311" i="20"/>
  <c r="I312" i="20"/>
  <c r="D289" i="20"/>
  <c r="I311" i="20" l="1"/>
  <c r="K311" i="20"/>
  <c r="J311" i="20"/>
  <c r="G310" i="20"/>
  <c r="N31" i="18"/>
  <c r="AL190" i="18"/>
  <c r="AL189" i="18" s="1"/>
  <c r="D288" i="20"/>
  <c r="J310" i="20" l="1"/>
  <c r="I310" i="20"/>
  <c r="K310" i="20"/>
  <c r="G309" i="20"/>
  <c r="AM191" i="18"/>
  <c r="AM190" i="18"/>
  <c r="AD4" i="52"/>
  <c r="K309" i="20" l="1"/>
  <c r="G308" i="20"/>
  <c r="J309" i="20"/>
  <c r="I309" i="20"/>
  <c r="D287" i="20"/>
  <c r="D286" i="20"/>
  <c r="F15" i="52"/>
  <c r="AB3" i="49" l="1"/>
  <c r="AB4" i="49"/>
  <c r="AB5" i="49"/>
  <c r="D285" i="20" l="1"/>
  <c r="W178" i="18"/>
  <c r="H282" i="20" l="1"/>
  <c r="H283" i="20"/>
  <c r="H284" i="20"/>
  <c r="H285" i="20"/>
  <c r="H286" i="20"/>
  <c r="H287" i="20"/>
  <c r="H288" i="20"/>
  <c r="H289" i="20"/>
  <c r="H290" i="20"/>
  <c r="H291" i="20"/>
  <c r="H292" i="20"/>
  <c r="H293" i="20"/>
  <c r="H294" i="20"/>
  <c r="H295" i="20"/>
  <c r="H296" i="20"/>
  <c r="D284" i="20"/>
  <c r="M89" i="18" l="1"/>
  <c r="D283" i="20" l="1"/>
  <c r="F276" i="15" l="1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D278" i="15"/>
  <c r="D277" i="15" s="1"/>
  <c r="D276" i="15" s="1"/>
  <c r="D275" i="15" s="1"/>
  <c r="D274" i="15" s="1"/>
  <c r="D273" i="15" s="1"/>
  <c r="D272" i="15" s="1"/>
  <c r="D271" i="15" s="1"/>
  <c r="D270" i="15" s="1"/>
  <c r="D269" i="15" s="1"/>
  <c r="D268" i="15" s="1"/>
  <c r="D267" i="15" s="1"/>
  <c r="D266" i="15" s="1"/>
  <c r="D265" i="15" s="1"/>
  <c r="D264" i="15" s="1"/>
  <c r="D263" i="15" s="1"/>
  <c r="D262" i="15" s="1"/>
  <c r="D261" i="15" s="1"/>
  <c r="F261" i="15" s="1"/>
  <c r="D282" i="20"/>
  <c r="F268" i="15" l="1"/>
  <c r="F264" i="15"/>
  <c r="F275" i="15"/>
  <c r="F271" i="15"/>
  <c r="F267" i="15"/>
  <c r="F263" i="15"/>
  <c r="F272" i="15"/>
  <c r="F278" i="15"/>
  <c r="F274" i="15"/>
  <c r="F270" i="15"/>
  <c r="F266" i="15"/>
  <c r="F262" i="15"/>
  <c r="F277" i="15"/>
  <c r="F273" i="15"/>
  <c r="F269" i="15"/>
  <c r="F265" i="15"/>
  <c r="R149" i="18"/>
  <c r="D281" i="20" l="1"/>
  <c r="D280" i="20" l="1"/>
  <c r="AD5" i="52" l="1"/>
  <c r="B38" i="52"/>
  <c r="D279" i="20"/>
  <c r="W154" i="18" l="1"/>
  <c r="Y150" i="18" s="1"/>
  <c r="AA150" i="18" s="1"/>
  <c r="W177" i="18"/>
  <c r="D278" i="20"/>
  <c r="W156" i="18" l="1"/>
  <c r="Y152" i="18" s="1"/>
  <c r="AA152" i="18" s="1"/>
  <c r="W155" i="18"/>
  <c r="Y151" i="18" s="1"/>
  <c r="AA151" i="18" s="1"/>
  <c r="G196" i="13"/>
  <c r="B196" i="13"/>
  <c r="B280" i="15"/>
  <c r="E260" i="15"/>
  <c r="D260" i="15"/>
  <c r="E253" i="15"/>
  <c r="E254" i="15"/>
  <c r="E255" i="15"/>
  <c r="E256" i="15"/>
  <c r="E257" i="15"/>
  <c r="E258" i="15"/>
  <c r="E259" i="15"/>
  <c r="D277" i="20"/>
  <c r="F260" i="15" l="1"/>
  <c r="S149" i="18"/>
  <c r="S148" i="18" l="1"/>
  <c r="D276" i="20"/>
  <c r="H273" i="20"/>
  <c r="H274" i="20"/>
  <c r="H275" i="20"/>
  <c r="H276" i="20"/>
  <c r="H277" i="20"/>
  <c r="H278" i="20"/>
  <c r="H279" i="20"/>
  <c r="H280" i="20"/>
  <c r="H281" i="20"/>
  <c r="D275" i="20"/>
  <c r="D274" i="20"/>
  <c r="D273" i="20"/>
  <c r="D272" i="20" l="1"/>
  <c r="D271" i="20" l="1"/>
  <c r="D270" i="20" l="1"/>
  <c r="N50" i="18"/>
  <c r="M120" i="18" l="1"/>
  <c r="H270" i="20"/>
  <c r="H271" i="20"/>
  <c r="H272" i="20"/>
  <c r="D269" i="20"/>
  <c r="H269" i="20"/>
  <c r="AL135" i="18" l="1"/>
  <c r="S77" i="18"/>
  <c r="AL134" i="18" l="1"/>
  <c r="AM135" i="18"/>
  <c r="D57" i="54"/>
  <c r="AL133" i="18" l="1"/>
  <c r="AM134" i="18"/>
  <c r="D3" i="54"/>
  <c r="D4" i="54"/>
  <c r="I4" i="54" s="1"/>
  <c r="D5" i="54"/>
  <c r="I5" i="54" s="1"/>
  <c r="D6" i="54"/>
  <c r="D7" i="54"/>
  <c r="D8" i="54"/>
  <c r="I8" i="54" s="1"/>
  <c r="D9" i="54"/>
  <c r="D10" i="54"/>
  <c r="I10" i="54" s="1"/>
  <c r="D11" i="54"/>
  <c r="D12" i="54"/>
  <c r="D13" i="54"/>
  <c r="D14" i="54"/>
  <c r="D15" i="54"/>
  <c r="I15" i="54" s="1"/>
  <c r="D16" i="54"/>
  <c r="I16" i="54" s="1"/>
  <c r="D17" i="54"/>
  <c r="D18" i="54"/>
  <c r="D19" i="54"/>
  <c r="D20" i="54"/>
  <c r="I20" i="54" s="1"/>
  <c r="D21" i="54"/>
  <c r="D22" i="54"/>
  <c r="I22" i="54" s="1"/>
  <c r="D23" i="54"/>
  <c r="D24" i="54"/>
  <c r="I24" i="54" s="1"/>
  <c r="D25" i="54"/>
  <c r="I25" i="54" s="1"/>
  <c r="D26" i="54"/>
  <c r="D27" i="54"/>
  <c r="D28" i="54"/>
  <c r="I28" i="54" s="1"/>
  <c r="D29" i="54"/>
  <c r="I29" i="54" s="1"/>
  <c r="D30" i="54"/>
  <c r="I30" i="54" s="1"/>
  <c r="C2" i="54"/>
  <c r="B2" i="54"/>
  <c r="H31" i="54"/>
  <c r="G31" i="54"/>
  <c r="D31" i="54"/>
  <c r="I31" i="54" s="1"/>
  <c r="H30" i="54"/>
  <c r="G30" i="54"/>
  <c r="H29" i="54"/>
  <c r="G29" i="54"/>
  <c r="H28" i="54"/>
  <c r="G28" i="54"/>
  <c r="H27" i="54"/>
  <c r="G27" i="54"/>
  <c r="I27" i="54"/>
  <c r="H26" i="54"/>
  <c r="G26" i="54"/>
  <c r="I26" i="54"/>
  <c r="H25" i="54"/>
  <c r="G25" i="54"/>
  <c r="H24" i="54"/>
  <c r="G24" i="54"/>
  <c r="H23" i="54"/>
  <c r="G23" i="54"/>
  <c r="I23" i="54"/>
  <c r="H22" i="54"/>
  <c r="G22" i="54"/>
  <c r="H21" i="54"/>
  <c r="G21" i="54"/>
  <c r="I21" i="54"/>
  <c r="H20" i="54"/>
  <c r="G20" i="54"/>
  <c r="H19" i="54"/>
  <c r="G19" i="54"/>
  <c r="I19" i="54"/>
  <c r="H18" i="54"/>
  <c r="G18" i="54"/>
  <c r="I18" i="54"/>
  <c r="H17" i="54"/>
  <c r="G17" i="54"/>
  <c r="I17" i="54"/>
  <c r="H16" i="54"/>
  <c r="G16" i="54"/>
  <c r="H15" i="54"/>
  <c r="G15" i="54"/>
  <c r="H14" i="54"/>
  <c r="G14" i="54"/>
  <c r="I14" i="54"/>
  <c r="H13" i="54"/>
  <c r="G13" i="54"/>
  <c r="I13" i="54"/>
  <c r="H12" i="54"/>
  <c r="G12" i="54"/>
  <c r="I12" i="54"/>
  <c r="H11" i="54"/>
  <c r="G11" i="54"/>
  <c r="I11" i="54"/>
  <c r="H10" i="54"/>
  <c r="G10" i="54"/>
  <c r="H9" i="54"/>
  <c r="G9" i="54"/>
  <c r="I9" i="54"/>
  <c r="H8" i="54"/>
  <c r="G8" i="54"/>
  <c r="H7" i="54"/>
  <c r="G7" i="54"/>
  <c r="I7" i="54"/>
  <c r="H6" i="54"/>
  <c r="G6" i="54"/>
  <c r="I6" i="54"/>
  <c r="H5" i="54"/>
  <c r="G5" i="54"/>
  <c r="H4" i="54"/>
  <c r="G4" i="54"/>
  <c r="H3" i="54"/>
  <c r="G3" i="54"/>
  <c r="I3" i="54"/>
  <c r="H2" i="54"/>
  <c r="C32" i="54"/>
  <c r="B32" i="54"/>
  <c r="AL132" i="18" l="1"/>
  <c r="AM133" i="18"/>
  <c r="H33" i="54"/>
  <c r="G2" i="54"/>
  <c r="G33" i="54" s="1"/>
  <c r="D2" i="54"/>
  <c r="N53" i="52"/>
  <c r="AD3" i="52"/>
  <c r="AD2" i="52"/>
  <c r="AL131" i="18" l="1"/>
  <c r="AM132" i="18"/>
  <c r="H38" i="54"/>
  <c r="I2" i="54"/>
  <c r="I33" i="54" s="1"/>
  <c r="I38" i="54" s="1"/>
  <c r="D32" i="54"/>
  <c r="N130" i="18"/>
  <c r="N131" i="18"/>
  <c r="N132" i="18"/>
  <c r="N133" i="18"/>
  <c r="N134" i="18"/>
  <c r="N135" i="18"/>
  <c r="N136" i="18"/>
  <c r="N137" i="18"/>
  <c r="N129" i="18"/>
  <c r="AM131" i="18" l="1"/>
  <c r="AL130" i="18"/>
  <c r="N4" i="52"/>
  <c r="N3" i="52"/>
  <c r="N2" i="52"/>
  <c r="N41" i="52" l="1"/>
  <c r="M43" i="52" s="1"/>
  <c r="AL129" i="18"/>
  <c r="AM130" i="18"/>
  <c r="O41" i="52" l="1"/>
  <c r="AL128" i="18"/>
  <c r="AM129" i="18"/>
  <c r="D266" i="20"/>
  <c r="H266" i="20"/>
  <c r="G30" i="51"/>
  <c r="H30" i="51"/>
  <c r="D30" i="51"/>
  <c r="I30" i="51" s="1"/>
  <c r="AM128" i="18" l="1"/>
  <c r="AL127" i="18"/>
  <c r="D265" i="20"/>
  <c r="H265" i="20"/>
  <c r="G29" i="51"/>
  <c r="H29" i="51"/>
  <c r="D29" i="51"/>
  <c r="I29" i="51" s="1"/>
  <c r="AM127" i="18" l="1"/>
  <c r="AL126" i="18"/>
  <c r="W176" i="18"/>
  <c r="G28" i="51"/>
  <c r="H28" i="51"/>
  <c r="D28" i="51"/>
  <c r="I28" i="51" s="1"/>
  <c r="D264" i="20"/>
  <c r="H264" i="20"/>
  <c r="AM126" i="18" l="1"/>
  <c r="AL125" i="18"/>
  <c r="G27" i="51"/>
  <c r="H27" i="51"/>
  <c r="D27" i="51"/>
  <c r="I27" i="51" s="1"/>
  <c r="G26" i="51"/>
  <c r="H26" i="51"/>
  <c r="D26" i="51"/>
  <c r="I26" i="51" s="1"/>
  <c r="AL124" i="18" l="1"/>
  <c r="AM125" i="18"/>
  <c r="W175" i="18"/>
  <c r="AM124" i="18" l="1"/>
  <c r="AL123" i="18"/>
  <c r="AM123" i="18" l="1"/>
  <c r="AL122" i="18"/>
  <c r="AL121" i="18" l="1"/>
  <c r="AM122" i="18"/>
  <c r="W169" i="18"/>
  <c r="W170" i="18"/>
  <c r="W171" i="18"/>
  <c r="W172" i="18"/>
  <c r="W173" i="18"/>
  <c r="W174" i="18"/>
  <c r="W186" i="18"/>
  <c r="W168" i="18"/>
  <c r="AM121" i="18" l="1"/>
  <c r="AL120" i="18"/>
  <c r="N64" i="18"/>
  <c r="AM120" i="18" l="1"/>
  <c r="AL119" i="18"/>
  <c r="AM119" i="18" l="1"/>
  <c r="AL118" i="18"/>
  <c r="T152" i="18"/>
  <c r="S56" i="18"/>
  <c r="S57" i="18" s="1"/>
  <c r="S58" i="18" s="1"/>
  <c r="R173" i="18"/>
  <c r="R171" i="18"/>
  <c r="D57" i="51"/>
  <c r="AL117" i="18" l="1"/>
  <c r="AM118" i="18"/>
  <c r="S59" i="18"/>
  <c r="S60" i="18" s="1"/>
  <c r="AM117" i="18" l="1"/>
  <c r="AL116" i="18"/>
  <c r="S61" i="18"/>
  <c r="S62" i="18" s="1"/>
  <c r="S63" i="18" s="1"/>
  <c r="S64" i="18" s="1"/>
  <c r="S65" i="18" s="1"/>
  <c r="S66" i="18" s="1"/>
  <c r="N36" i="18"/>
  <c r="R170" i="18" l="1"/>
  <c r="Q68" i="18"/>
  <c r="AL115" i="18"/>
  <c r="AM116" i="18"/>
  <c r="C2" i="51"/>
  <c r="H2" i="51" s="1"/>
  <c r="B2" i="51"/>
  <c r="B32" i="51" s="1"/>
  <c r="G33" i="48"/>
  <c r="H31" i="51"/>
  <c r="G31" i="51"/>
  <c r="D31" i="51"/>
  <c r="I31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G2" i="51"/>
  <c r="AM115" i="18" l="1"/>
  <c r="AL114" i="18"/>
  <c r="G33" i="51"/>
  <c r="C32" i="51"/>
  <c r="H33" i="51"/>
  <c r="D2" i="51"/>
  <c r="D32" i="51" s="1"/>
  <c r="R10" i="49"/>
  <c r="S10" i="49"/>
  <c r="R9" i="49"/>
  <c r="AL113" i="18" l="1"/>
  <c r="AM114" i="18"/>
  <c r="H38" i="51"/>
  <c r="I2" i="51"/>
  <c r="I33" i="51" s="1"/>
  <c r="I38" i="51" s="1"/>
  <c r="S20" i="18"/>
  <c r="S21" i="18" s="1"/>
  <c r="AL112" i="18" l="1"/>
  <c r="AM113" i="18"/>
  <c r="N55" i="18"/>
  <c r="M115" i="18" s="1"/>
  <c r="N115" i="18" l="1"/>
  <c r="AM112" i="18"/>
  <c r="AL111" i="18"/>
  <c r="D108" i="50"/>
  <c r="AL110" i="18" l="1"/>
  <c r="AM111" i="18"/>
  <c r="N54" i="18"/>
  <c r="AL109" i="18" l="1"/>
  <c r="AM110" i="18"/>
  <c r="N114" i="18" l="1"/>
  <c r="AL108" i="18"/>
  <c r="AM109" i="18"/>
  <c r="N22" i="33"/>
  <c r="R22" i="33" s="1"/>
  <c r="E22" i="33"/>
  <c r="AL107" i="18" l="1"/>
  <c r="AM108" i="18"/>
  <c r="C22" i="33"/>
  <c r="J22" i="33"/>
  <c r="F22" i="33"/>
  <c r="B22" i="33"/>
  <c r="I22" i="33"/>
  <c r="L22" i="33"/>
  <c r="H22" i="33"/>
  <c r="D22" i="33"/>
  <c r="K22" i="33"/>
  <c r="G22" i="33"/>
  <c r="AM107" i="18" l="1"/>
  <c r="AL106" i="18"/>
  <c r="AL105" i="18" l="1"/>
  <c r="AM106" i="18"/>
  <c r="S22" i="18"/>
  <c r="N120" i="18" l="1"/>
  <c r="AL104" i="18"/>
  <c r="AM105" i="18"/>
  <c r="AL188" i="18"/>
  <c r="AM189" i="18"/>
  <c r="AL103" i="18" l="1"/>
  <c r="AM104" i="18"/>
  <c r="AL187" i="18"/>
  <c r="AM188" i="18"/>
  <c r="AL102" i="18" l="1"/>
  <c r="AM103" i="18"/>
  <c r="AL186" i="18"/>
  <c r="AM187" i="18"/>
  <c r="S23" i="18"/>
  <c r="S24" i="18" s="1"/>
  <c r="S25" i="18" s="1"/>
  <c r="S26" i="18" s="1"/>
  <c r="N89" i="18"/>
  <c r="AL101" i="18" l="1"/>
  <c r="AM102" i="18"/>
  <c r="AL185" i="18"/>
  <c r="AM186" i="18"/>
  <c r="S27" i="18"/>
  <c r="S28" i="18" s="1"/>
  <c r="S29" i="18" s="1"/>
  <c r="S30" i="18" s="1"/>
  <c r="S31" i="18" s="1"/>
  <c r="S32" i="18" s="1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S33" i="18" l="1"/>
  <c r="S34" i="18" s="1"/>
  <c r="S35" i="18" s="1"/>
  <c r="S36" i="18" s="1"/>
  <c r="S37" i="18" s="1"/>
  <c r="S38" i="18" s="1"/>
  <c r="S39" i="18" s="1"/>
  <c r="S40" i="18" s="1"/>
  <c r="S41" i="18" s="1"/>
  <c r="S42" i="18" s="1"/>
  <c r="S43" i="18" s="1"/>
  <c r="S44" i="18" s="1"/>
  <c r="S45" i="18" s="1"/>
  <c r="S46" i="18" s="1"/>
  <c r="S47" i="18" s="1"/>
  <c r="S48" i="18" s="1"/>
  <c r="S49" i="18" s="1"/>
  <c r="AM101" i="18"/>
  <c r="AL100" i="18"/>
  <c r="AM185" i="18"/>
  <c r="AL184" i="18"/>
  <c r="D73" i="48"/>
  <c r="N28" i="18"/>
  <c r="M113" i="18" s="1"/>
  <c r="AL99" i="18" l="1"/>
  <c r="AM100" i="18"/>
  <c r="N113" i="18"/>
  <c r="AL183" i="18"/>
  <c r="AM184" i="18"/>
  <c r="AM99" i="18" l="1"/>
  <c r="AL98" i="18"/>
  <c r="AL182" i="18"/>
  <c r="AM183" i="18"/>
  <c r="P69" i="18"/>
  <c r="AL97" i="18" l="1"/>
  <c r="AM98" i="18"/>
  <c r="AL181" i="18"/>
  <c r="AM182" i="18"/>
  <c r="AM97" i="18" l="1"/>
  <c r="AL96" i="18"/>
  <c r="AL180" i="18"/>
  <c r="AM181" i="18"/>
  <c r="N23" i="33"/>
  <c r="D23" i="33" s="1"/>
  <c r="AM96" i="18" l="1"/>
  <c r="AL95" i="18"/>
  <c r="AL179" i="18"/>
  <c r="AM180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G26" i="49" s="1"/>
  <c r="F4" i="49"/>
  <c r="F26" i="49" s="1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4" i="49"/>
  <c r="E5" i="49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3" i="49"/>
  <c r="O3" i="49"/>
  <c r="AL94" i="18" l="1"/>
  <c r="AM95" i="18"/>
  <c r="AL178" i="18"/>
  <c r="AM179" i="18"/>
  <c r="N21" i="18"/>
  <c r="Q51" i="18" s="1"/>
  <c r="AJ212" i="18" l="1"/>
  <c r="AJ213" i="18" s="1"/>
  <c r="R169" i="18"/>
  <c r="AM94" i="18"/>
  <c r="AL93" i="18"/>
  <c r="AL177" i="18"/>
  <c r="AM178" i="18"/>
  <c r="AL92" i="18" l="1"/>
  <c r="AM93" i="18"/>
  <c r="AL176" i="18"/>
  <c r="AM177" i="18"/>
  <c r="S78" i="18"/>
  <c r="S79" i="18" s="1"/>
  <c r="AL91" i="18" l="1"/>
  <c r="AM92" i="18"/>
  <c r="AM176" i="18"/>
  <c r="AL175" i="18"/>
  <c r="AL90" i="18" l="1"/>
  <c r="AM91" i="18"/>
  <c r="AL174" i="18"/>
  <c r="AM175" i="18"/>
  <c r="AM90" i="18" l="1"/>
  <c r="AL89" i="18"/>
  <c r="AM174" i="18"/>
  <c r="AL173" i="18"/>
  <c r="AL88" i="18" l="1"/>
  <c r="AM89" i="18"/>
  <c r="AM173" i="18"/>
  <c r="AL172" i="18"/>
  <c r="B8" i="36"/>
  <c r="AM88" i="18" l="1"/>
  <c r="AL87" i="18"/>
  <c r="AL171" i="18"/>
  <c r="AM172" i="18"/>
  <c r="B10" i="36"/>
  <c r="AL86" i="18" l="1"/>
  <c r="AM87" i="18"/>
  <c r="AL170" i="18"/>
  <c r="AM171" i="18"/>
  <c r="S80" i="18"/>
  <c r="AL85" i="18" l="1"/>
  <c r="AM86" i="18"/>
  <c r="S81" i="18"/>
  <c r="S82" i="18" s="1"/>
  <c r="S83" i="18" s="1"/>
  <c r="S84" i="18" s="1"/>
  <c r="S85" i="18" s="1"/>
  <c r="S86" i="18" s="1"/>
  <c r="AL169" i="18"/>
  <c r="AM170" i="18"/>
  <c r="N25" i="33"/>
  <c r="N24" i="33"/>
  <c r="N21" i="33"/>
  <c r="N20" i="33"/>
  <c r="N19" i="33"/>
  <c r="N18" i="33"/>
  <c r="L18" i="33" s="1"/>
  <c r="N17" i="33"/>
  <c r="N9" i="33"/>
  <c r="N3" i="33"/>
  <c r="N4" i="33"/>
  <c r="AL84" i="18" l="1"/>
  <c r="AM85" i="18"/>
  <c r="AM169" i="18"/>
  <c r="AL168" i="18"/>
  <c r="S87" i="18"/>
  <c r="S88" i="18" s="1"/>
  <c r="S89" i="18" s="1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M84" i="18" l="1"/>
  <c r="AL83" i="18"/>
  <c r="AM168" i="18"/>
  <c r="AL167" i="18"/>
  <c r="AC15" i="33"/>
  <c r="AL82" i="18" l="1"/>
  <c r="AM83" i="18"/>
  <c r="AM167" i="18"/>
  <c r="AL166" i="18"/>
  <c r="N16" i="33"/>
  <c r="AL81" i="18" l="1"/>
  <c r="AM82" i="18"/>
  <c r="AM166" i="18"/>
  <c r="AL165" i="18"/>
  <c r="AM165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L80" i="18" l="1"/>
  <c r="AM80" i="18" s="1"/>
  <c r="AM81" i="18"/>
  <c r="AM208" i="18"/>
  <c r="AN208" i="18" s="1"/>
  <c r="AJ211" i="18" s="1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7" i="20"/>
  <c r="H26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7" i="20"/>
  <c r="D268" i="20"/>
  <c r="D370" i="20"/>
  <c r="K370" i="20" s="1"/>
  <c r="S90" i="18" l="1"/>
  <c r="AJ214" i="18"/>
  <c r="AJ215" i="18" s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AL79" i="18" l="1"/>
  <c r="G25" i="46"/>
  <c r="H25" i="46"/>
  <c r="D25" i="46"/>
  <c r="I25" i="46" s="1"/>
  <c r="AL78" i="18" l="1"/>
  <c r="AM79" i="18"/>
  <c r="D88" i="46"/>
  <c r="G24" i="46"/>
  <c r="H24" i="46"/>
  <c r="D24" i="46"/>
  <c r="I24" i="46" s="1"/>
  <c r="G23" i="46"/>
  <c r="H23" i="46"/>
  <c r="D23" i="46"/>
  <c r="I23" i="46" s="1"/>
  <c r="S91" i="18" l="1"/>
  <c r="S92" i="18" s="1"/>
  <c r="AL77" i="18"/>
  <c r="AM78" i="18"/>
  <c r="N69" i="18"/>
  <c r="G307" i="20" l="1"/>
  <c r="K308" i="20"/>
  <c r="J308" i="20"/>
  <c r="I308" i="20"/>
  <c r="S93" i="18"/>
  <c r="S94" i="18" s="1"/>
  <c r="S95" i="18" s="1"/>
  <c r="S96" i="18" s="1"/>
  <c r="S97" i="18" s="1"/>
  <c r="AL76" i="18"/>
  <c r="AM77" i="18"/>
  <c r="G306" i="20" l="1"/>
  <c r="J307" i="20"/>
  <c r="I307" i="20"/>
  <c r="K307" i="20"/>
  <c r="S98" i="18"/>
  <c r="S99" i="18" s="1"/>
  <c r="AL75" i="18"/>
  <c r="AM76" i="18"/>
  <c r="N62" i="18"/>
  <c r="Q144" i="18" l="1"/>
  <c r="AJ154" i="18"/>
  <c r="AJ155" i="18" s="1"/>
  <c r="R168" i="18"/>
  <c r="R178" i="18" s="1"/>
  <c r="M112" i="18"/>
  <c r="N112" i="18" s="1"/>
  <c r="N123" i="18" s="1"/>
  <c r="S100" i="18"/>
  <c r="S101" i="18" s="1"/>
  <c r="S102" i="18" s="1"/>
  <c r="S103" i="18" s="1"/>
  <c r="S104" i="18" s="1"/>
  <c r="S105" i="18" s="1"/>
  <c r="S106" i="18" s="1"/>
  <c r="S107" i="18" s="1"/>
  <c r="S108" i="18" s="1"/>
  <c r="S109" i="18" s="1"/>
  <c r="S110" i="18" s="1"/>
  <c r="S111" i="18" s="1"/>
  <c r="S112" i="18" s="1"/>
  <c r="S113" i="18" s="1"/>
  <c r="S114" i="18" s="1"/>
  <c r="S115" i="18" s="1"/>
  <c r="S116" i="18" s="1"/>
  <c r="S117" i="18" s="1"/>
  <c r="G305" i="20"/>
  <c r="I306" i="20"/>
  <c r="K306" i="20"/>
  <c r="J306" i="20"/>
  <c r="AL74" i="18"/>
  <c r="AM75" i="18"/>
  <c r="U236" i="18" l="1"/>
  <c r="T223" i="18"/>
  <c r="G304" i="20"/>
  <c r="I305" i="20"/>
  <c r="K305" i="20"/>
  <c r="J305" i="20"/>
  <c r="S118" i="18"/>
  <c r="AL73" i="18"/>
  <c r="AM74" i="18"/>
  <c r="N95" i="18"/>
  <c r="V49" i="18" l="1"/>
  <c r="V66" i="18"/>
  <c r="W49" i="18"/>
  <c r="X49" i="18"/>
  <c r="V48" i="18"/>
  <c r="V47" i="18"/>
  <c r="V46" i="18"/>
  <c r="W46" i="18" s="1"/>
  <c r="V65" i="18"/>
  <c r="V45" i="18"/>
  <c r="V44" i="18"/>
  <c r="V43" i="18"/>
  <c r="V39" i="18"/>
  <c r="X39" i="18" s="1"/>
  <c r="V42" i="18"/>
  <c r="V41" i="18"/>
  <c r="V40" i="18"/>
  <c r="V38" i="18"/>
  <c r="V37" i="18"/>
  <c r="S119" i="18"/>
  <c r="S120" i="18" s="1"/>
  <c r="V33" i="18"/>
  <c r="W33" i="18" s="1"/>
  <c r="V34" i="18"/>
  <c r="V35" i="18"/>
  <c r="V50" i="18"/>
  <c r="V36" i="18"/>
  <c r="V32" i="18"/>
  <c r="X32" i="18" s="1"/>
  <c r="V64" i="18"/>
  <c r="G303" i="20"/>
  <c r="K304" i="20"/>
  <c r="I304" i="20"/>
  <c r="J304" i="20"/>
  <c r="V226" i="18"/>
  <c r="V236" i="18"/>
  <c r="V31" i="18"/>
  <c r="W31" i="18" s="1"/>
  <c r="V63" i="18"/>
  <c r="V118" i="18"/>
  <c r="V116" i="18"/>
  <c r="V115" i="18"/>
  <c r="V114" i="18"/>
  <c r="V117" i="18"/>
  <c r="V111" i="18"/>
  <c r="W111" i="18" s="1"/>
  <c r="V113" i="18"/>
  <c r="V112" i="18"/>
  <c r="V110" i="18"/>
  <c r="V109" i="18"/>
  <c r="V30" i="18"/>
  <c r="W30" i="18" s="1"/>
  <c r="V62" i="18"/>
  <c r="V107" i="18"/>
  <c r="V108" i="18"/>
  <c r="V105" i="18"/>
  <c r="V104" i="18"/>
  <c r="V103" i="18"/>
  <c r="V102" i="18"/>
  <c r="V99" i="18"/>
  <c r="V101" i="18"/>
  <c r="V100" i="18"/>
  <c r="V106" i="18"/>
  <c r="V143" i="18"/>
  <c r="V97" i="18"/>
  <c r="W97" i="18" s="1"/>
  <c r="V98" i="18"/>
  <c r="V29" i="18"/>
  <c r="W29" i="18" s="1"/>
  <c r="V61" i="18"/>
  <c r="V95" i="18"/>
  <c r="W95" i="18" s="1"/>
  <c r="V96" i="18"/>
  <c r="V92" i="18"/>
  <c r="W92" i="18" s="1"/>
  <c r="V94" i="18"/>
  <c r="V93" i="18"/>
  <c r="V91" i="18"/>
  <c r="W91" i="18" s="1"/>
  <c r="V89" i="18"/>
  <c r="V90" i="18"/>
  <c r="V28" i="18"/>
  <c r="V27" i="18"/>
  <c r="W27" i="18" s="1"/>
  <c r="V60" i="18"/>
  <c r="V26" i="18"/>
  <c r="X26" i="18" s="1"/>
  <c r="V59" i="18"/>
  <c r="V67" i="18"/>
  <c r="V58" i="18"/>
  <c r="V88" i="18"/>
  <c r="V57" i="18"/>
  <c r="V87" i="18"/>
  <c r="V25" i="18"/>
  <c r="V86" i="18"/>
  <c r="V24" i="18"/>
  <c r="V22" i="18"/>
  <c r="V23" i="18"/>
  <c r="W23" i="18" s="1"/>
  <c r="V85" i="18"/>
  <c r="V84" i="18"/>
  <c r="V83" i="18"/>
  <c r="V21" i="18"/>
  <c r="V82" i="18"/>
  <c r="V81" i="18"/>
  <c r="V79" i="18"/>
  <c r="V80" i="18"/>
  <c r="V76" i="18"/>
  <c r="V20" i="18"/>
  <c r="V77" i="18"/>
  <c r="V78" i="18"/>
  <c r="AL72" i="18"/>
  <c r="AM73" i="18"/>
  <c r="W66" i="18" l="1"/>
  <c r="X66" i="18"/>
  <c r="X47" i="18"/>
  <c r="W47" i="18"/>
  <c r="W48" i="18"/>
  <c r="X48" i="18"/>
  <c r="X46" i="18"/>
  <c r="W65" i="18"/>
  <c r="X65" i="18"/>
  <c r="W39" i="18"/>
  <c r="X43" i="18"/>
  <c r="W43" i="18"/>
  <c r="W44" i="18"/>
  <c r="X44" i="18"/>
  <c r="W45" i="18"/>
  <c r="X45" i="18"/>
  <c r="W40" i="18"/>
  <c r="X40" i="18"/>
  <c r="X41" i="18"/>
  <c r="W41" i="18"/>
  <c r="W42" i="18"/>
  <c r="X42" i="18"/>
  <c r="W37" i="18"/>
  <c r="X37" i="18"/>
  <c r="W38" i="18"/>
  <c r="X38" i="18"/>
  <c r="V119" i="18"/>
  <c r="X119" i="18" s="1"/>
  <c r="S121" i="18"/>
  <c r="V120" i="18"/>
  <c r="W120" i="18" s="1"/>
  <c r="X33" i="18"/>
  <c r="W50" i="18"/>
  <c r="X50" i="18"/>
  <c r="W34" i="18"/>
  <c r="X34" i="18"/>
  <c r="W35" i="18"/>
  <c r="X35" i="18"/>
  <c r="X36" i="18"/>
  <c r="W36" i="18"/>
  <c r="W32" i="18"/>
  <c r="X64" i="18"/>
  <c r="W64" i="18"/>
  <c r="S156" i="18"/>
  <c r="G302" i="20"/>
  <c r="K303" i="20"/>
  <c r="I303" i="20"/>
  <c r="J303" i="20"/>
  <c r="X31" i="18"/>
  <c r="W63" i="18"/>
  <c r="X63" i="18"/>
  <c r="X111" i="18"/>
  <c r="W114" i="18"/>
  <c r="X114" i="18"/>
  <c r="W116" i="18"/>
  <c r="X116" i="18"/>
  <c r="X117" i="18"/>
  <c r="W117" i="18"/>
  <c r="W115" i="18"/>
  <c r="X115" i="18"/>
  <c r="W118" i="18"/>
  <c r="X118" i="18"/>
  <c r="W112" i="18"/>
  <c r="X112" i="18"/>
  <c r="W113" i="18"/>
  <c r="X113" i="18"/>
  <c r="X30" i="18"/>
  <c r="W109" i="18"/>
  <c r="X109" i="18"/>
  <c r="W110" i="18"/>
  <c r="X110" i="18"/>
  <c r="W62" i="18"/>
  <c r="X62" i="18"/>
  <c r="W108" i="18"/>
  <c r="X108" i="18"/>
  <c r="W107" i="18"/>
  <c r="X107" i="18"/>
  <c r="X104" i="18"/>
  <c r="W104" i="18"/>
  <c r="W105" i="18"/>
  <c r="X105" i="18"/>
  <c r="W102" i="18"/>
  <c r="X102" i="18"/>
  <c r="W103" i="18"/>
  <c r="X103" i="18"/>
  <c r="W143" i="18"/>
  <c r="X143" i="18"/>
  <c r="W101" i="18"/>
  <c r="X101" i="18"/>
  <c r="X106" i="18"/>
  <c r="W106" i="18"/>
  <c r="W100" i="18"/>
  <c r="X100" i="18"/>
  <c r="W99" i="18"/>
  <c r="X99" i="18"/>
  <c r="X97" i="18"/>
  <c r="W98" i="18"/>
  <c r="X98" i="18"/>
  <c r="X29" i="18"/>
  <c r="W61" i="18"/>
  <c r="X61" i="18"/>
  <c r="X95" i="18"/>
  <c r="W96" i="18"/>
  <c r="X96" i="18"/>
  <c r="X92" i="18"/>
  <c r="W93" i="18"/>
  <c r="X93" i="18"/>
  <c r="W94" i="18"/>
  <c r="X94" i="18"/>
  <c r="X91" i="18"/>
  <c r="W90" i="18"/>
  <c r="X90" i="18"/>
  <c r="W89" i="18"/>
  <c r="X89" i="18"/>
  <c r="W28" i="18"/>
  <c r="X28" i="18"/>
  <c r="X27" i="18"/>
  <c r="W60" i="18"/>
  <c r="X60" i="18"/>
  <c r="W26" i="18"/>
  <c r="W59" i="18"/>
  <c r="X59" i="18"/>
  <c r="W58" i="18"/>
  <c r="X58" i="18"/>
  <c r="W67" i="18"/>
  <c r="X67" i="18"/>
  <c r="S155" i="18"/>
  <c r="N39" i="18" s="1"/>
  <c r="S154" i="18"/>
  <c r="U154" i="18" s="1"/>
  <c r="W88" i="18"/>
  <c r="X88" i="18"/>
  <c r="X57" i="18"/>
  <c r="W57" i="18"/>
  <c r="W81" i="18"/>
  <c r="X81" i="18"/>
  <c r="W83" i="18"/>
  <c r="X83" i="18"/>
  <c r="W86" i="18"/>
  <c r="X86" i="18"/>
  <c r="W78" i="18"/>
  <c r="X78" i="18"/>
  <c r="W84" i="18"/>
  <c r="X84" i="18"/>
  <c r="X23" i="18"/>
  <c r="W25" i="18"/>
  <c r="X25" i="18"/>
  <c r="W20" i="18"/>
  <c r="X20" i="18"/>
  <c r="W80" i="18"/>
  <c r="X80" i="18"/>
  <c r="W22" i="18"/>
  <c r="X22" i="18"/>
  <c r="X87" i="18"/>
  <c r="W87" i="18"/>
  <c r="W77" i="18"/>
  <c r="X77" i="18"/>
  <c r="W76" i="18"/>
  <c r="X76" i="18"/>
  <c r="W82" i="18"/>
  <c r="X82" i="18"/>
  <c r="W79" i="18"/>
  <c r="X79" i="18"/>
  <c r="X21" i="18"/>
  <c r="W21" i="18"/>
  <c r="W85" i="18"/>
  <c r="X85" i="18"/>
  <c r="W24" i="18"/>
  <c r="X24" i="18"/>
  <c r="AL71" i="18"/>
  <c r="AM72" i="18"/>
  <c r="W119" i="18" l="1"/>
  <c r="X120" i="18"/>
  <c r="S122" i="18"/>
  <c r="V121" i="18"/>
  <c r="N72" i="18"/>
  <c r="U156" i="18"/>
  <c r="L21" i="18"/>
  <c r="G301" i="20"/>
  <c r="I302" i="20"/>
  <c r="K302" i="20"/>
  <c r="J302" i="20"/>
  <c r="U155" i="18"/>
  <c r="V155" i="18" s="1"/>
  <c r="AL70" i="18"/>
  <c r="AM71" i="18"/>
  <c r="X121" i="18" l="1"/>
  <c r="W121" i="18"/>
  <c r="S123" i="18"/>
  <c r="V122" i="18"/>
  <c r="G300" i="20"/>
  <c r="I301" i="20"/>
  <c r="J301" i="20"/>
  <c r="K301" i="20"/>
  <c r="AL69" i="18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W122" i="18" l="1"/>
  <c r="X122" i="18"/>
  <c r="S124" i="18"/>
  <c r="S125" i="18" s="1"/>
  <c r="V123" i="18"/>
  <c r="G299" i="20"/>
  <c r="I300" i="20"/>
  <c r="K300" i="20"/>
  <c r="J300" i="20"/>
  <c r="AL68" i="18"/>
  <c r="AM69" i="18"/>
  <c r="N2" i="33"/>
  <c r="W123" i="18" l="1"/>
  <c r="X123" i="18"/>
  <c r="V124" i="18"/>
  <c r="G298" i="20"/>
  <c r="K299" i="20"/>
  <c r="I299" i="20"/>
  <c r="J299" i="20"/>
  <c r="AL67" i="18"/>
  <c r="AM68" i="18"/>
  <c r="I2" i="33"/>
  <c r="E2" i="33"/>
  <c r="J2" i="33"/>
  <c r="F2" i="33"/>
  <c r="K2" i="33"/>
  <c r="G2" i="33"/>
  <c r="D2" i="33"/>
  <c r="C2" i="33"/>
  <c r="H2" i="33"/>
  <c r="D73" i="45"/>
  <c r="X124" i="18" l="1"/>
  <c r="W124" i="18"/>
  <c r="G297" i="20"/>
  <c r="K298" i="20"/>
  <c r="I298" i="20"/>
  <c r="J298" i="20"/>
  <c r="AL66" i="18"/>
  <c r="AM67" i="18"/>
  <c r="F33" i="14"/>
  <c r="F34" i="14"/>
  <c r="F35" i="14"/>
  <c r="F36" i="14"/>
  <c r="F37" i="14"/>
  <c r="F38" i="14"/>
  <c r="F39" i="14"/>
  <c r="F40" i="14"/>
  <c r="F41" i="14"/>
  <c r="F42" i="14"/>
  <c r="F43" i="14"/>
  <c r="F44" i="14"/>
  <c r="F48" i="14"/>
  <c r="F49" i="14"/>
  <c r="E50" i="14"/>
  <c r="E49" i="14" s="1"/>
  <c r="B51" i="14"/>
  <c r="G49" i="14" l="1"/>
  <c r="S126" i="18"/>
  <c r="V125" i="18"/>
  <c r="I297" i="20"/>
  <c r="K297" i="20"/>
  <c r="J297" i="20"/>
  <c r="G296" i="20"/>
  <c r="AL65" i="18"/>
  <c r="AM66" i="18"/>
  <c r="E48" i="14"/>
  <c r="G48" i="14" s="1"/>
  <c r="X125" i="18" l="1"/>
  <c r="W125" i="18"/>
  <c r="S127" i="18"/>
  <c r="V126" i="18"/>
  <c r="G295" i="20"/>
  <c r="K296" i="20"/>
  <c r="I296" i="20"/>
  <c r="J296" i="20"/>
  <c r="AL64" i="18"/>
  <c r="AM65" i="18"/>
  <c r="E44" i="14"/>
  <c r="G44" i="14" s="1"/>
  <c r="W126" i="18" l="1"/>
  <c r="X126" i="18"/>
  <c r="S128" i="18"/>
  <c r="V127" i="18"/>
  <c r="G294" i="20"/>
  <c r="K295" i="20"/>
  <c r="J295" i="20"/>
  <c r="I295" i="20"/>
  <c r="AM64" i="18"/>
  <c r="AL63" i="18"/>
  <c r="E43" i="14"/>
  <c r="G43" i="14" s="1"/>
  <c r="W127" i="18" l="1"/>
  <c r="X127" i="18"/>
  <c r="V128" i="18"/>
  <c r="S129" i="18"/>
  <c r="G293" i="20"/>
  <c r="I294" i="20"/>
  <c r="J294" i="20"/>
  <c r="K294" i="20"/>
  <c r="AL62" i="18"/>
  <c r="AM63" i="18"/>
  <c r="E42" i="14"/>
  <c r="G42" i="14" s="1"/>
  <c r="S130" i="18" l="1"/>
  <c r="S131" i="18" s="1"/>
  <c r="V129" i="18"/>
  <c r="W128" i="18"/>
  <c r="X128" i="18"/>
  <c r="G292" i="20"/>
  <c r="K293" i="20"/>
  <c r="J293" i="20"/>
  <c r="I293" i="20"/>
  <c r="AL61" i="18"/>
  <c r="AM62" i="18"/>
  <c r="E41" i="14"/>
  <c r="G41" i="14" s="1"/>
  <c r="V130" i="18" l="1"/>
  <c r="X130" i="18" s="1"/>
  <c r="X129" i="18"/>
  <c r="W129" i="18"/>
  <c r="J292" i="20"/>
  <c r="I292" i="20"/>
  <c r="G291" i="20"/>
  <c r="K292" i="20"/>
  <c r="AM61" i="18"/>
  <c r="AL60" i="18"/>
  <c r="E40" i="14"/>
  <c r="G40" i="14" s="1"/>
  <c r="W130" i="18" l="1"/>
  <c r="G290" i="20"/>
  <c r="J291" i="20"/>
  <c r="K291" i="20"/>
  <c r="I291" i="20"/>
  <c r="AL59" i="18"/>
  <c r="AM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V131" i="18" l="1"/>
  <c r="W131" i="18" s="1"/>
  <c r="S132" i="18"/>
  <c r="J290" i="20"/>
  <c r="G289" i="20"/>
  <c r="I290" i="20"/>
  <c r="K290" i="20"/>
  <c r="AM59" i="18"/>
  <c r="AL58" i="18"/>
  <c r="E38" i="14"/>
  <c r="G38" i="14" s="1"/>
  <c r="X131" i="18" l="1"/>
  <c r="S133" i="18"/>
  <c r="S134" i="18" s="1"/>
  <c r="S135" i="18" s="1"/>
  <c r="S136" i="18" s="1"/>
  <c r="S137" i="18" s="1"/>
  <c r="V132" i="18"/>
  <c r="G288" i="20"/>
  <c r="K289" i="20"/>
  <c r="J289" i="20"/>
  <c r="I289" i="20"/>
  <c r="AL57" i="18"/>
  <c r="AM58" i="18"/>
  <c r="E37" i="14"/>
  <c r="G37" i="14" s="1"/>
  <c r="V135" i="18" l="1"/>
  <c r="W132" i="18"/>
  <c r="X132" i="18"/>
  <c r="V133" i="18"/>
  <c r="J288" i="20"/>
  <c r="K288" i="20"/>
  <c r="G287" i="20"/>
  <c r="I288" i="20"/>
  <c r="AL56" i="18"/>
  <c r="AM57" i="18"/>
  <c r="E36" i="14"/>
  <c r="G36" i="14" s="1"/>
  <c r="B105" i="13"/>
  <c r="W135" i="18" l="1"/>
  <c r="X135" i="18"/>
  <c r="W133" i="18"/>
  <c r="X133" i="18"/>
  <c r="V134" i="18"/>
  <c r="G286" i="20"/>
  <c r="J287" i="20"/>
  <c r="I287" i="20"/>
  <c r="K287" i="20"/>
  <c r="F105" i="13"/>
  <c r="AM56" i="18"/>
  <c r="AL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W134" i="18" l="1"/>
  <c r="X134" i="18"/>
  <c r="G285" i="20"/>
  <c r="J286" i="20"/>
  <c r="I286" i="20"/>
  <c r="K286" i="20"/>
  <c r="AM55" i="18"/>
  <c r="AL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V136" i="18" l="1"/>
  <c r="G284" i="20"/>
  <c r="K285" i="20"/>
  <c r="J285" i="20"/>
  <c r="I285" i="20"/>
  <c r="AL53" i="18"/>
  <c r="AM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W136" i="18" l="1"/>
  <c r="X136" i="18"/>
  <c r="G283" i="20"/>
  <c r="K284" i="20"/>
  <c r="I284" i="20"/>
  <c r="J284" i="20"/>
  <c r="C27" i="50"/>
  <c r="H2" i="50"/>
  <c r="H28" i="50" s="1"/>
  <c r="AM53" i="18"/>
  <c r="AL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3" i="14"/>
  <c r="D64" i="43"/>
  <c r="I283" i="20" l="1"/>
  <c r="J283" i="20"/>
  <c r="K283" i="20"/>
  <c r="G282" i="20"/>
  <c r="H33" i="48"/>
  <c r="B27" i="50"/>
  <c r="D2" i="50"/>
  <c r="G2" i="50"/>
  <c r="G28" i="50" s="1"/>
  <c r="AL51" i="18"/>
  <c r="AM52" i="18"/>
  <c r="D27" i="48"/>
  <c r="E252" i="15"/>
  <c r="J282" i="20" l="1"/>
  <c r="I282" i="20"/>
  <c r="K282" i="20"/>
  <c r="G281" i="20"/>
  <c r="G33" i="50"/>
  <c r="H33" i="50" s="1"/>
  <c r="I33" i="48"/>
  <c r="I2" i="50"/>
  <c r="I28" i="50" s="1"/>
  <c r="I33" i="50" s="1"/>
  <c r="D27" i="50"/>
  <c r="AL50" i="18"/>
  <c r="AM51" i="18"/>
  <c r="E251" i="15"/>
  <c r="E250" i="15"/>
  <c r="D171" i="20"/>
  <c r="V137" i="18" l="1"/>
  <c r="W137" i="18" s="1"/>
  <c r="S138" i="18"/>
  <c r="S139" i="18" s="1"/>
  <c r="K281" i="20"/>
  <c r="G280" i="20"/>
  <c r="I281" i="20"/>
  <c r="J281" i="20"/>
  <c r="AM50" i="18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G32" i="14" s="1"/>
  <c r="F50" i="14"/>
  <c r="G50" i="14" s="1"/>
  <c r="F2" i="14"/>
  <c r="E31" i="14"/>
  <c r="E249" i="15"/>
  <c r="D170" i="20"/>
  <c r="S140" i="18" l="1"/>
  <c r="V139" i="18"/>
  <c r="X137" i="18"/>
  <c r="V138" i="18"/>
  <c r="K280" i="20"/>
  <c r="G279" i="20"/>
  <c r="J280" i="20"/>
  <c r="I280" i="20"/>
  <c r="AL48" i="18"/>
  <c r="AM49" i="18"/>
  <c r="E30" i="14"/>
  <c r="G31" i="14"/>
  <c r="E248" i="15"/>
  <c r="V140" i="18" l="1"/>
  <c r="S141" i="18"/>
  <c r="W139" i="18"/>
  <c r="X139" i="18"/>
  <c r="W140" i="18"/>
  <c r="X140" i="18"/>
  <c r="W138" i="18"/>
  <c r="X138" i="18"/>
  <c r="J279" i="20"/>
  <c r="I279" i="20"/>
  <c r="G278" i="20"/>
  <c r="K279" i="20"/>
  <c r="AL47" i="18"/>
  <c r="AM48" i="18"/>
  <c r="E29" i="14"/>
  <c r="G30" i="14"/>
  <c r="E247" i="15"/>
  <c r="E246" i="15"/>
  <c r="V141" i="18" l="1"/>
  <c r="S142" i="18"/>
  <c r="V142" i="18" s="1"/>
  <c r="X141" i="18"/>
  <c r="W141" i="18"/>
  <c r="J278" i="20"/>
  <c r="I278" i="20"/>
  <c r="G277" i="20"/>
  <c r="K278" i="20"/>
  <c r="AL46" i="18"/>
  <c r="AM47" i="18"/>
  <c r="E28" i="14"/>
  <c r="G29" i="14"/>
  <c r="E245" i="15"/>
  <c r="W142" i="18" l="1"/>
  <c r="X142" i="18"/>
  <c r="J277" i="20"/>
  <c r="I277" i="20"/>
  <c r="G276" i="20"/>
  <c r="K277" i="20"/>
  <c r="AM46" i="18"/>
  <c r="AL45" i="18"/>
  <c r="E27" i="14"/>
  <c r="G28" i="14"/>
  <c r="N15" i="33"/>
  <c r="E244" i="15"/>
  <c r="G275" i="20" l="1"/>
  <c r="K276" i="20"/>
  <c r="J276" i="20"/>
  <c r="I276" i="20"/>
  <c r="AL44" i="18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G274" i="20" l="1"/>
  <c r="K275" i="20"/>
  <c r="J275" i="20"/>
  <c r="I275" i="20"/>
  <c r="AL43" i="18"/>
  <c r="AM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G273" i="20" l="1"/>
  <c r="K274" i="20"/>
  <c r="I274" i="20"/>
  <c r="J274" i="20"/>
  <c r="AM43" i="18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G272" i="20" l="1"/>
  <c r="J273" i="20"/>
  <c r="K273" i="20"/>
  <c r="I273" i="20"/>
  <c r="AL41" i="18"/>
  <c r="AM42" i="18"/>
  <c r="E23" i="14"/>
  <c r="G24" i="14"/>
  <c r="H25" i="43"/>
  <c r="G2" i="43"/>
  <c r="G25" i="43" s="1"/>
  <c r="G30" i="43" s="1"/>
  <c r="H30" i="43" s="1"/>
  <c r="J272" i="20" l="1"/>
  <c r="K272" i="20"/>
  <c r="I272" i="20"/>
  <c r="G271" i="20"/>
  <c r="AM41" i="18"/>
  <c r="AL40" i="18"/>
  <c r="E22" i="14"/>
  <c r="G23" i="14"/>
  <c r="I2" i="43"/>
  <c r="I25" i="43" s="1"/>
  <c r="I30" i="43" s="1"/>
  <c r="D24" i="43"/>
  <c r="G270" i="20" l="1"/>
  <c r="I271" i="20"/>
  <c r="J271" i="20"/>
  <c r="K271" i="20"/>
  <c r="AL39" i="18"/>
  <c r="AM40" i="18"/>
  <c r="E21" i="14"/>
  <c r="E20" i="14" s="1"/>
  <c r="E19" i="14" s="1"/>
  <c r="E18" i="14" s="1"/>
  <c r="G22" i="14"/>
  <c r="E243" i="15"/>
  <c r="G269" i="20" l="1"/>
  <c r="J270" i="20"/>
  <c r="K270" i="20"/>
  <c r="I270" i="20"/>
  <c r="AM39" i="18"/>
  <c r="AL38" i="18"/>
  <c r="E242" i="15"/>
  <c r="I269" i="20" l="1"/>
  <c r="K269" i="20"/>
  <c r="J269" i="20"/>
  <c r="G268" i="20"/>
  <c r="AL37" i="18"/>
  <c r="AM38" i="18"/>
  <c r="J57" i="33"/>
  <c r="J55" i="33"/>
  <c r="J54" i="33"/>
  <c r="J268" i="20" l="1"/>
  <c r="I268" i="20"/>
  <c r="G267" i="20"/>
  <c r="K268" i="20"/>
  <c r="AL36" i="18"/>
  <c r="AM37" i="18"/>
  <c r="L57" i="33"/>
  <c r="E241" i="15"/>
  <c r="I267" i="20" l="1"/>
  <c r="K267" i="20"/>
  <c r="G266" i="20"/>
  <c r="J267" i="20"/>
  <c r="AM36" i="18"/>
  <c r="AL35" i="18"/>
  <c r="D168" i="20"/>
  <c r="J266" i="20" l="1"/>
  <c r="G265" i="20"/>
  <c r="K266" i="20"/>
  <c r="I266" i="20"/>
  <c r="AL34" i="18"/>
  <c r="AM35" i="18"/>
  <c r="E240" i="15"/>
  <c r="E239" i="15"/>
  <c r="K265" i="20" l="1"/>
  <c r="G264" i="20"/>
  <c r="J265" i="20"/>
  <c r="I265" i="20"/>
  <c r="D259" i="15"/>
  <c r="AL33" i="18"/>
  <c r="AM34" i="18"/>
  <c r="G263" i="20" l="1"/>
  <c r="K264" i="20"/>
  <c r="J264" i="20"/>
  <c r="I264" i="20"/>
  <c r="D258" i="15"/>
  <c r="F259" i="15"/>
  <c r="AL32" i="18"/>
  <c r="AM33" i="18"/>
  <c r="I263" i="20" l="1"/>
  <c r="K263" i="20"/>
  <c r="G262" i="20"/>
  <c r="J263" i="20"/>
  <c r="D257" i="15"/>
  <c r="F258" i="15"/>
  <c r="AL31" i="18"/>
  <c r="AM32" i="18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G261" i="20" l="1"/>
  <c r="I262" i="20"/>
  <c r="J262" i="20"/>
  <c r="K262" i="20"/>
  <c r="D256" i="15"/>
  <c r="F257" i="15"/>
  <c r="AL30" i="18"/>
  <c r="AM31" i="18"/>
  <c r="L60" i="32"/>
  <c r="L48" i="32"/>
  <c r="J261" i="20" l="1"/>
  <c r="I261" i="20"/>
  <c r="K261" i="20"/>
  <c r="G260" i="20"/>
  <c r="D255" i="15"/>
  <c r="F256" i="15"/>
  <c r="AL29" i="18"/>
  <c r="AM30" i="18"/>
  <c r="G259" i="20" l="1"/>
  <c r="J260" i="20"/>
  <c r="K260" i="20"/>
  <c r="I260" i="20"/>
  <c r="D254" i="15"/>
  <c r="F255" i="15"/>
  <c r="AM29" i="18"/>
  <c r="AL28" i="18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258" i="20" l="1"/>
  <c r="I259" i="20"/>
  <c r="J259" i="20"/>
  <c r="K259" i="20"/>
  <c r="D253" i="15"/>
  <c r="F254" i="15"/>
  <c r="G193" i="13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G257" i="20" l="1"/>
  <c r="I258" i="20"/>
  <c r="K258" i="20"/>
  <c r="J258" i="20"/>
  <c r="D252" i="15"/>
  <c r="F253" i="15"/>
  <c r="AL26" i="18"/>
  <c r="AM27" i="18"/>
  <c r="G182" i="13"/>
  <c r="E180" i="13"/>
  <c r="G181" i="13"/>
  <c r="F140" i="13"/>
  <c r="F141" i="13"/>
  <c r="F142" i="13"/>
  <c r="F143" i="13"/>
  <c r="F144" i="13"/>
  <c r="F145" i="13"/>
  <c r="G256" i="20" l="1"/>
  <c r="K257" i="20"/>
  <c r="J257" i="20"/>
  <c r="I257" i="20"/>
  <c r="D251" i="15"/>
  <c r="F252" i="15"/>
  <c r="AL25" i="18"/>
  <c r="AM26" i="18"/>
  <c r="E179" i="13"/>
  <c r="G180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G255" i="20" l="1"/>
  <c r="I256" i="20"/>
  <c r="J256" i="20"/>
  <c r="K256" i="20"/>
  <c r="D250" i="15"/>
  <c r="F251" i="15"/>
  <c r="AL24" i="18"/>
  <c r="AM25" i="18"/>
  <c r="E178" i="13"/>
  <c r="G179" i="13"/>
  <c r="G254" i="20" l="1"/>
  <c r="J255" i="20"/>
  <c r="I255" i="20"/>
  <c r="K255" i="20"/>
  <c r="D249" i="15"/>
  <c r="F250" i="15"/>
  <c r="AM24" i="18"/>
  <c r="AL23" i="18"/>
  <c r="E177" i="13"/>
  <c r="G178" i="13"/>
  <c r="K254" i="20" l="1"/>
  <c r="I254" i="20"/>
  <c r="G253" i="20"/>
  <c r="J254" i="20"/>
  <c r="F249" i="15"/>
  <c r="D248" i="15"/>
  <c r="AM23" i="18"/>
  <c r="AL22" i="18"/>
  <c r="E176" i="13"/>
  <c r="G177" i="13"/>
  <c r="D165" i="20"/>
  <c r="G252" i="20" l="1"/>
  <c r="J253" i="20"/>
  <c r="K253" i="20"/>
  <c r="I253" i="20"/>
  <c r="D247" i="15"/>
  <c r="F248" i="15"/>
  <c r="AL21" i="18"/>
  <c r="AL20" i="18" s="1"/>
  <c r="AM22" i="18"/>
  <c r="E175" i="13"/>
  <c r="G176" i="13"/>
  <c r="D164" i="20"/>
  <c r="K252" i="20" l="1"/>
  <c r="G251" i="20"/>
  <c r="I252" i="20"/>
  <c r="J252" i="20"/>
  <c r="F247" i="15"/>
  <c r="D246" i="15"/>
  <c r="AM21" i="18"/>
  <c r="AM20" i="18"/>
  <c r="E174" i="13"/>
  <c r="G175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AM148" i="18" l="1"/>
  <c r="G250" i="20"/>
  <c r="I251" i="20"/>
  <c r="J251" i="20"/>
  <c r="K251" i="20"/>
  <c r="F246" i="15"/>
  <c r="D245" i="15"/>
  <c r="E173" i="13"/>
  <c r="G174" i="13"/>
  <c r="X720" i="41"/>
  <c r="U2123" i="41"/>
  <c r="G249" i="20" l="1"/>
  <c r="J250" i="20"/>
  <c r="K250" i="20"/>
  <c r="I250" i="20"/>
  <c r="F245" i="15"/>
  <c r="D244" i="15"/>
  <c r="AN148" i="18"/>
  <c r="AJ153" i="18" s="1"/>
  <c r="AJ157" i="18" s="1"/>
  <c r="E172" i="13"/>
  <c r="G173" i="13"/>
  <c r="D62" i="38"/>
  <c r="J249" i="20" l="1"/>
  <c r="I249" i="20"/>
  <c r="K249" i="20"/>
  <c r="G248" i="20"/>
  <c r="F244" i="15"/>
  <c r="D243" i="15"/>
  <c r="AJ156" i="18"/>
  <c r="E171" i="13"/>
  <c r="G172" i="13"/>
  <c r="G247" i="20" l="1"/>
  <c r="J248" i="20"/>
  <c r="K248" i="20"/>
  <c r="I248" i="20"/>
  <c r="F243" i="15"/>
  <c r="D242" i="15"/>
  <c r="E170" i="13"/>
  <c r="G171" i="13"/>
  <c r="K247" i="20" l="1"/>
  <c r="J247" i="20"/>
  <c r="I247" i="20"/>
  <c r="G246" i="20"/>
  <c r="F242" i="15"/>
  <c r="D241" i="15"/>
  <c r="E169" i="13"/>
  <c r="G170" i="13"/>
  <c r="D163" i="20"/>
  <c r="G245" i="20" l="1"/>
  <c r="J246" i="20"/>
  <c r="K246" i="20"/>
  <c r="I246" i="20"/>
  <c r="F241" i="15"/>
  <c r="D240" i="15"/>
  <c r="E168" i="13"/>
  <c r="G169" i="13"/>
  <c r="I245" i="20" l="1"/>
  <c r="J245" i="20"/>
  <c r="G244" i="20"/>
  <c r="K245" i="20"/>
  <c r="D239" i="15"/>
  <c r="F240" i="15"/>
  <c r="E167" i="13"/>
  <c r="G168" i="13"/>
  <c r="D162" i="20"/>
  <c r="K244" i="20" l="1"/>
  <c r="I244" i="20"/>
  <c r="G243" i="20"/>
  <c r="J244" i="20"/>
  <c r="D238" i="15"/>
  <c r="F239" i="15"/>
  <c r="E166" i="13"/>
  <c r="G167" i="13"/>
  <c r="D161" i="20"/>
  <c r="B8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5" i="16" l="1"/>
  <c r="G74" i="16"/>
  <c r="G242" i="20"/>
  <c r="J243" i="20"/>
  <c r="I243" i="20"/>
  <c r="K243" i="20"/>
  <c r="D237" i="15"/>
  <c r="F238" i="15"/>
  <c r="G73" i="16"/>
  <c r="G72" i="16"/>
  <c r="E165" i="13"/>
  <c r="G166" i="13"/>
  <c r="G71" i="16"/>
  <c r="G70" i="16"/>
  <c r="G69" i="16"/>
  <c r="D160" i="20"/>
  <c r="J242" i="20" l="1"/>
  <c r="K242" i="20"/>
  <c r="G241" i="20"/>
  <c r="I242" i="20"/>
  <c r="F237" i="15"/>
  <c r="D236" i="15"/>
  <c r="E164" i="13"/>
  <c r="G165" i="13"/>
  <c r="D159" i="20"/>
  <c r="K241" i="20" l="1"/>
  <c r="I241" i="20"/>
  <c r="G240" i="20"/>
  <c r="J241" i="20"/>
  <c r="D235" i="15"/>
  <c r="F236" i="15"/>
  <c r="E163" i="13"/>
  <c r="G164" i="13"/>
  <c r="D158" i="20"/>
  <c r="D157" i="20"/>
  <c r="G239" i="20" l="1"/>
  <c r="I240" i="20"/>
  <c r="K240" i="20"/>
  <c r="J240" i="20"/>
  <c r="F235" i="15"/>
  <c r="D234" i="15"/>
  <c r="E162" i="13"/>
  <c r="G163" i="13"/>
  <c r="D156" i="20"/>
  <c r="G238" i="20" l="1"/>
  <c r="K239" i="20"/>
  <c r="I239" i="20"/>
  <c r="J239" i="20"/>
  <c r="F234" i="15"/>
  <c r="D233" i="15"/>
  <c r="E161" i="13"/>
  <c r="G162" i="13"/>
  <c r="D155" i="20"/>
  <c r="J238" i="20" l="1"/>
  <c r="I238" i="20"/>
  <c r="G237" i="20"/>
  <c r="K238" i="20"/>
  <c r="D232" i="15"/>
  <c r="F233" i="15"/>
  <c r="E160" i="13"/>
  <c r="G161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G236" i="20" l="1"/>
  <c r="J237" i="20"/>
  <c r="I237" i="20"/>
  <c r="K237" i="20"/>
  <c r="F232" i="15"/>
  <c r="D231" i="15"/>
  <c r="E159" i="13"/>
  <c r="G160" i="13"/>
  <c r="G235" i="20" l="1"/>
  <c r="J236" i="20"/>
  <c r="I236" i="20"/>
  <c r="K236" i="20"/>
  <c r="F231" i="15"/>
  <c r="D230" i="15"/>
  <c r="E158" i="13"/>
  <c r="G159" i="13"/>
  <c r="D154" i="20"/>
  <c r="D153" i="20"/>
  <c r="G234" i="20" l="1"/>
  <c r="J235" i="20"/>
  <c r="I235" i="20"/>
  <c r="K235" i="20"/>
  <c r="F230" i="15"/>
  <c r="D229" i="15"/>
  <c r="E157" i="13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I234" i="20" l="1"/>
  <c r="K234" i="20"/>
  <c r="J234" i="20"/>
  <c r="G233" i="20"/>
  <c r="F229" i="15"/>
  <c r="D228" i="15"/>
  <c r="E156" i="13"/>
  <c r="G157" i="13"/>
  <c r="K233" i="20" l="1"/>
  <c r="J233" i="20"/>
  <c r="G232" i="20"/>
  <c r="I233" i="20"/>
  <c r="F228" i="15"/>
  <c r="D227" i="15"/>
  <c r="E155" i="13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32" i="10"/>
  <c r="G231" i="20" l="1"/>
  <c r="I232" i="20"/>
  <c r="J232" i="20"/>
  <c r="K232" i="20"/>
  <c r="F227" i="15"/>
  <c r="D226" i="15"/>
  <c r="E154" i="13"/>
  <c r="G155" i="13"/>
  <c r="I46" i="32"/>
  <c r="G230" i="20" l="1"/>
  <c r="K231" i="20"/>
  <c r="I231" i="20"/>
  <c r="J231" i="20"/>
  <c r="D225" i="15"/>
  <c r="D224" i="15" s="1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226" i="15"/>
  <c r="E153" i="13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G229" i="20" l="1"/>
  <c r="J230" i="20"/>
  <c r="I230" i="20"/>
  <c r="K230" i="20"/>
  <c r="F196" i="15"/>
  <c r="E152" i="13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G228" i="20" l="1"/>
  <c r="J229" i="20"/>
  <c r="K229" i="20"/>
  <c r="I229" i="20"/>
  <c r="E151" i="13"/>
  <c r="G152" i="13"/>
  <c r="K228" i="20" l="1"/>
  <c r="G227" i="20"/>
  <c r="I228" i="20"/>
  <c r="J228" i="20"/>
  <c r="E150" i="13"/>
  <c r="G151" i="13"/>
  <c r="J227" i="20" l="1"/>
  <c r="G226" i="20"/>
  <c r="I227" i="20"/>
  <c r="K227" i="20"/>
  <c r="E149" i="13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I226" i="20" l="1"/>
  <c r="K226" i="20"/>
  <c r="J226" i="20"/>
  <c r="G225" i="20"/>
  <c r="E148" i="13"/>
  <c r="G149" i="13"/>
  <c r="J225" i="20" l="1"/>
  <c r="K225" i="20"/>
  <c r="G224" i="20"/>
  <c r="I225" i="20"/>
  <c r="E147" i="13"/>
  <c r="G148" i="13"/>
  <c r="J224" i="20" l="1"/>
  <c r="K224" i="20"/>
  <c r="G223" i="20"/>
  <c r="I224" i="20"/>
  <c r="E146" i="13"/>
  <c r="G147" i="13"/>
  <c r="K47" i="32"/>
  <c r="U47" i="32" s="1"/>
  <c r="U46" i="32"/>
  <c r="G222" i="20" l="1"/>
  <c r="K223" i="20"/>
  <c r="J223" i="20"/>
  <c r="I223" i="20"/>
  <c r="E145" i="13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I222" i="20" l="1"/>
  <c r="G221" i="20"/>
  <c r="J222" i="20"/>
  <c r="K222" i="20"/>
  <c r="E144" i="13"/>
  <c r="G145" i="13"/>
  <c r="AD15" i="32"/>
  <c r="AB15" i="32"/>
  <c r="Z34" i="32"/>
  <c r="G45" i="10"/>
  <c r="D42" i="34"/>
  <c r="G220" i="20" l="1"/>
  <c r="J221" i="20"/>
  <c r="I221" i="20"/>
  <c r="K221" i="20"/>
  <c r="E143" i="13"/>
  <c r="G144" i="13"/>
  <c r="AC16" i="32"/>
  <c r="AD16" i="32"/>
  <c r="AB16" i="32"/>
  <c r="I220" i="20" l="1"/>
  <c r="K220" i="20"/>
  <c r="G219" i="20"/>
  <c r="J220" i="20"/>
  <c r="E142" i="13"/>
  <c r="G143" i="13"/>
  <c r="I219" i="20" l="1"/>
  <c r="J219" i="20"/>
  <c r="G218" i="20"/>
  <c r="K219" i="20"/>
  <c r="E141" i="13"/>
  <c r="G142" i="13"/>
  <c r="U8" i="32"/>
  <c r="K218" i="20" l="1"/>
  <c r="G217" i="20"/>
  <c r="I218" i="20"/>
  <c r="J218" i="20"/>
  <c r="E140" i="13"/>
  <c r="G141" i="13"/>
  <c r="K217" i="20" l="1"/>
  <c r="J217" i="20"/>
  <c r="I217" i="20"/>
  <c r="G216" i="20"/>
  <c r="E139" i="13"/>
  <c r="G140" i="13"/>
  <c r="N34" i="33"/>
  <c r="K216" i="20" l="1"/>
  <c r="I216" i="20"/>
  <c r="G215" i="20"/>
  <c r="J216" i="20"/>
  <c r="B34" i="33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K215" i="20" l="1"/>
  <c r="I215" i="20"/>
  <c r="J215" i="20"/>
  <c r="G214" i="20"/>
  <c r="E137" i="13"/>
  <c r="G138" i="13"/>
  <c r="Q43" i="32"/>
  <c r="I214" i="20" l="1"/>
  <c r="J214" i="20"/>
  <c r="G213" i="20"/>
  <c r="K214" i="20"/>
  <c r="E136" i="13"/>
  <c r="G137" i="13"/>
  <c r="I42" i="32"/>
  <c r="K41" i="32"/>
  <c r="M41" i="32"/>
  <c r="M29" i="32"/>
  <c r="R29" i="32" s="1"/>
  <c r="K29" i="32"/>
  <c r="K213" i="20" l="1"/>
  <c r="J213" i="20"/>
  <c r="I213" i="20"/>
  <c r="G212" i="20"/>
  <c r="E135" i="13"/>
  <c r="G136" i="13"/>
  <c r="Q29" i="32"/>
  <c r="I212" i="20" l="1"/>
  <c r="K212" i="20"/>
  <c r="G211" i="20"/>
  <c r="J212" i="20"/>
  <c r="E134" i="13"/>
  <c r="G135" i="13"/>
  <c r="U29" i="32"/>
  <c r="U62" i="32"/>
  <c r="U63" i="32"/>
  <c r="U64" i="32"/>
  <c r="U65" i="32"/>
  <c r="U66" i="32"/>
  <c r="U67" i="32"/>
  <c r="U68" i="32"/>
  <c r="AC28" i="33"/>
  <c r="K211" i="20" l="1"/>
  <c r="J211" i="20"/>
  <c r="I211" i="20"/>
  <c r="G210" i="20"/>
  <c r="E133" i="13"/>
  <c r="G134" i="13"/>
  <c r="AE24" i="33"/>
  <c r="I210" i="20" l="1"/>
  <c r="J210" i="20"/>
  <c r="K210" i="20"/>
  <c r="G209" i="20"/>
  <c r="E132" i="13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I209" i="20" l="1"/>
  <c r="G208" i="20"/>
  <c r="K209" i="20"/>
  <c r="J209" i="20"/>
  <c r="E131" i="13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K208" i="20" l="1"/>
  <c r="I208" i="20"/>
  <c r="J208" i="20"/>
  <c r="G207" i="20"/>
  <c r="B30" i="33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G95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I207" i="20" l="1"/>
  <c r="J207" i="20"/>
  <c r="G206" i="20"/>
  <c r="K207" i="20"/>
  <c r="E129" i="13"/>
  <c r="G130" i="13"/>
  <c r="H25" i="34"/>
  <c r="I2" i="34"/>
  <c r="I25" i="34" s="1"/>
  <c r="D24" i="34"/>
  <c r="B24" i="34"/>
  <c r="B2" i="38" s="1"/>
  <c r="C24" i="34"/>
  <c r="C2" i="38" s="1"/>
  <c r="G2" i="34"/>
  <c r="G25" i="34" s="1"/>
  <c r="G205" i="20" l="1"/>
  <c r="I206" i="20"/>
  <c r="J206" i="20"/>
  <c r="K206" i="20"/>
  <c r="E128" i="13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G204" i="20" l="1"/>
  <c r="K205" i="20"/>
  <c r="J205" i="20"/>
  <c r="I205" i="20"/>
  <c r="E127" i="13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J204" i="20" l="1"/>
  <c r="G203" i="20"/>
  <c r="K204" i="20"/>
  <c r="I204" i="20"/>
  <c r="E126" i="13"/>
  <c r="G127" i="13"/>
  <c r="H30" i="42"/>
  <c r="I2" i="42"/>
  <c r="I25" i="42" s="1"/>
  <c r="I30" i="42" s="1"/>
  <c r="D24" i="42"/>
  <c r="K28" i="32"/>
  <c r="G202" i="20" l="1"/>
  <c r="K203" i="20"/>
  <c r="I203" i="20"/>
  <c r="J203" i="20"/>
  <c r="E125" i="13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J202" i="20" l="1"/>
  <c r="I202" i="20"/>
  <c r="K202" i="20"/>
  <c r="G201" i="20"/>
  <c r="E124" i="13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J201" i="20" l="1"/>
  <c r="G200" i="20"/>
  <c r="K201" i="20"/>
  <c r="I201" i="20"/>
  <c r="E123" i="13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J200" i="20" l="1"/>
  <c r="I200" i="20"/>
  <c r="G199" i="20"/>
  <c r="K200" i="20"/>
  <c r="G123" i="13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J199" i="20" l="1"/>
  <c r="G198" i="20"/>
  <c r="K199" i="20"/>
  <c r="I199" i="20"/>
  <c r="G102" i="13"/>
  <c r="G199" i="13"/>
  <c r="G103" i="13"/>
  <c r="U14" i="32"/>
  <c r="L14" i="32" s="1"/>
  <c r="Q9" i="32"/>
  <c r="R9" i="32"/>
  <c r="Y5" i="33"/>
  <c r="J198" i="20" l="1"/>
  <c r="K198" i="20"/>
  <c r="I198" i="20"/>
  <c r="G197" i="20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G196" i="20" l="1"/>
  <c r="K197" i="20"/>
  <c r="J197" i="20"/>
  <c r="I197" i="20"/>
  <c r="L8" i="32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K196" i="20" l="1"/>
  <c r="J196" i="20"/>
  <c r="I196" i="20"/>
  <c r="G195" i="20"/>
  <c r="AA7" i="33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G194" i="20" l="1"/>
  <c r="I195" i="20"/>
  <c r="K195" i="20"/>
  <c r="J195" i="20"/>
  <c r="D194" i="15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J194" i="20" l="1"/>
  <c r="I194" i="20"/>
  <c r="G193" i="20"/>
  <c r="K194" i="20"/>
  <c r="F192" i="15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192" i="20" l="1"/>
  <c r="I193" i="20"/>
  <c r="J193" i="20"/>
  <c r="K193" i="20"/>
  <c r="G56" i="16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191" i="20" l="1"/>
  <c r="J192" i="20"/>
  <c r="K192" i="20"/>
  <c r="I192" i="20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G190" i="20" l="1"/>
  <c r="I191" i="20"/>
  <c r="J191" i="20"/>
  <c r="K191" i="20"/>
  <c r="H25" i="31"/>
  <c r="G25" i="31"/>
  <c r="I2" i="31"/>
  <c r="I25" i="31" s="1"/>
  <c r="D24" i="31"/>
  <c r="B24" i="31"/>
  <c r="G44" i="10"/>
  <c r="D143" i="20"/>
  <c r="G189" i="20" l="1"/>
  <c r="K190" i="20"/>
  <c r="I190" i="20"/>
  <c r="J190" i="20"/>
  <c r="H30" i="31"/>
  <c r="I30" i="31"/>
  <c r="G188" i="20" l="1"/>
  <c r="K189" i="20"/>
  <c r="I189" i="20"/>
  <c r="J189" i="20"/>
  <c r="E184" i="15"/>
  <c r="E185" i="15"/>
  <c r="E183" i="15"/>
  <c r="J188" i="20" l="1"/>
  <c r="I188" i="20"/>
  <c r="G187" i="20"/>
  <c r="K188" i="20"/>
  <c r="D142" i="20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G186" i="20" l="1"/>
  <c r="K187" i="20"/>
  <c r="J187" i="20"/>
  <c r="I187" i="20"/>
  <c r="D141" i="20"/>
  <c r="G185" i="20" l="1"/>
  <c r="I186" i="20"/>
  <c r="J186" i="20"/>
  <c r="K186" i="20"/>
  <c r="F2" i="16"/>
  <c r="G2" i="16" s="1"/>
  <c r="G85" i="16" s="1"/>
  <c r="G184" i="20" l="1"/>
  <c r="I185" i="20"/>
  <c r="J185" i="20"/>
  <c r="K185" i="20"/>
  <c r="F185" i="15"/>
  <c r="D140" i="20"/>
  <c r="I184" i="20" l="1"/>
  <c r="G183" i="20"/>
  <c r="J184" i="20"/>
  <c r="K184" i="20"/>
  <c r="F184" i="15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H142" i="20"/>
  <c r="H143" i="20"/>
  <c r="H144" i="20"/>
  <c r="H145" i="20"/>
  <c r="H146" i="20"/>
  <c r="H147" i="20"/>
  <c r="H148" i="20"/>
  <c r="H149" i="20"/>
  <c r="H150" i="20"/>
  <c r="D139" i="20"/>
  <c r="I183" i="20" l="1"/>
  <c r="G182" i="20"/>
  <c r="K183" i="20"/>
  <c r="J183" i="20"/>
  <c r="F183" i="15"/>
  <c r="G43" i="10"/>
  <c r="K182" i="20" l="1"/>
  <c r="I182" i="20"/>
  <c r="J182" i="20"/>
  <c r="G181" i="20"/>
  <c r="D138" i="20"/>
  <c r="G180" i="20" l="1"/>
  <c r="I181" i="20"/>
  <c r="K181" i="20"/>
  <c r="J181" i="20"/>
  <c r="G42" i="10"/>
  <c r="I180" i="20" l="1"/>
  <c r="G179" i="20"/>
  <c r="J180" i="20"/>
  <c r="K180" i="20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I179" i="20" l="1"/>
  <c r="J179" i="20"/>
  <c r="G178" i="20"/>
  <c r="K179" i="20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K178" i="20" l="1"/>
  <c r="I178" i="20"/>
  <c r="G177" i="20"/>
  <c r="J178" i="20"/>
  <c r="D42" i="28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G176" i="20" l="1"/>
  <c r="I177" i="20"/>
  <c r="K177" i="20"/>
  <c r="J177" i="20"/>
  <c r="H2" i="29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J176" i="20" l="1"/>
  <c r="G175" i="20"/>
  <c r="I176" i="20"/>
  <c r="K176" i="20"/>
  <c r="H2" i="30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K175" i="20" l="1"/>
  <c r="J175" i="20"/>
  <c r="G174" i="20"/>
  <c r="I175" i="20"/>
  <c r="H30" i="30"/>
  <c r="I2" i="30"/>
  <c r="I25" i="30" s="1"/>
  <c r="I30" i="30" s="1"/>
  <c r="D24" i="30"/>
  <c r="D42" i="27"/>
  <c r="J174" i="20" l="1"/>
  <c r="I174" i="20"/>
  <c r="K174" i="20"/>
  <c r="G173" i="20"/>
  <c r="D133" i="20"/>
  <c r="B24" i="27"/>
  <c r="I173" i="20" l="1"/>
  <c r="G172" i="20"/>
  <c r="K173" i="20"/>
  <c r="J173" i="20"/>
  <c r="G39" i="10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171" i="20" l="1"/>
  <c r="K172" i="20"/>
  <c r="J172" i="20"/>
  <c r="I172" i="20"/>
  <c r="G84" i="13"/>
  <c r="G100" i="13"/>
  <c r="G99" i="13"/>
  <c r="G98" i="13"/>
  <c r="G97" i="13"/>
  <c r="G96" i="13"/>
  <c r="G94" i="13"/>
  <c r="G95" i="13"/>
  <c r="G93" i="13"/>
  <c r="G92" i="13"/>
  <c r="G91" i="13"/>
  <c r="G90" i="13"/>
  <c r="G88" i="13"/>
  <c r="G89" i="13"/>
  <c r="G87" i="13"/>
  <c r="G85" i="13"/>
  <c r="G86" i="13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G170" i="20" l="1"/>
  <c r="K171" i="20"/>
  <c r="I171" i="20"/>
  <c r="J171" i="20"/>
  <c r="F166" i="15"/>
  <c r="F165" i="15"/>
  <c r="F164" i="15"/>
  <c r="F163" i="15"/>
  <c r="F162" i="15"/>
  <c r="F161" i="15"/>
  <c r="F160" i="15"/>
  <c r="F159" i="15"/>
  <c r="F158" i="15"/>
  <c r="I170" i="20" l="1"/>
  <c r="G169" i="20"/>
  <c r="J170" i="20"/>
  <c r="K170" i="20"/>
  <c r="D132" i="20"/>
  <c r="D131" i="20"/>
  <c r="I169" i="20" l="1"/>
  <c r="K169" i="20"/>
  <c r="J169" i="20"/>
  <c r="G168" i="20"/>
  <c r="E3" i="18"/>
  <c r="D4" i="18"/>
  <c r="E100" i="18"/>
  <c r="N6" i="18" s="1"/>
  <c r="N10" i="18" s="1"/>
  <c r="J168" i="20" l="1"/>
  <c r="K168" i="20"/>
  <c r="I168" i="20"/>
  <c r="G167" i="20"/>
  <c r="N11" i="18"/>
  <c r="G38" i="10"/>
  <c r="D129" i="20"/>
  <c r="G166" i="20" l="1"/>
  <c r="K167" i="20"/>
  <c r="J167" i="20"/>
  <c r="I167" i="20"/>
  <c r="D2" i="26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K166" i="20" l="1"/>
  <c r="I166" i="20"/>
  <c r="G165" i="20"/>
  <c r="J166" i="20"/>
  <c r="H2" i="27"/>
  <c r="H25" i="27" s="1"/>
  <c r="C24" i="27"/>
  <c r="D2" i="27"/>
  <c r="G2" i="27"/>
  <c r="G25" i="27" s="1"/>
  <c r="D24" i="26"/>
  <c r="D127" i="20"/>
  <c r="G164" i="20" l="1"/>
  <c r="I165" i="20"/>
  <c r="J165" i="20"/>
  <c r="K165" i="20"/>
  <c r="H30" i="27"/>
  <c r="I2" i="27"/>
  <c r="I25" i="27" s="1"/>
  <c r="I30" i="27" s="1"/>
  <c r="D24" i="27"/>
  <c r="G163" i="20" l="1"/>
  <c r="J164" i="20"/>
  <c r="K164" i="20"/>
  <c r="I164" i="20"/>
  <c r="D42" i="25"/>
  <c r="I163" i="20" l="1"/>
  <c r="J163" i="20"/>
  <c r="K163" i="20"/>
  <c r="G162" i="20"/>
  <c r="E83" i="13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K162" i="20" l="1"/>
  <c r="J162" i="20"/>
  <c r="I162" i="20"/>
  <c r="G161" i="20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160" i="20" l="1"/>
  <c r="I161" i="20"/>
  <c r="J161" i="20"/>
  <c r="K161" i="20"/>
  <c r="G2" i="25"/>
  <c r="G25" i="25" s="1"/>
  <c r="D2" i="25"/>
  <c r="D42" i="24"/>
  <c r="K160" i="20" l="1"/>
  <c r="G159" i="20"/>
  <c r="J160" i="20"/>
  <c r="I160" i="20"/>
  <c r="I2" i="25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K159" i="20" l="1"/>
  <c r="J159" i="20"/>
  <c r="I159" i="20"/>
  <c r="G158" i="20"/>
  <c r="G74" i="13"/>
  <c r="G73" i="13"/>
  <c r="G72" i="13"/>
  <c r="G71" i="13"/>
  <c r="G70" i="13"/>
  <c r="G69" i="13"/>
  <c r="G68" i="13"/>
  <c r="G67" i="13"/>
  <c r="G66" i="13"/>
  <c r="H124" i="20"/>
  <c r="G157" i="20" l="1"/>
  <c r="I158" i="20"/>
  <c r="K158" i="20"/>
  <c r="J158" i="20"/>
  <c r="G37" i="10"/>
  <c r="I157" i="20" l="1"/>
  <c r="K157" i="20"/>
  <c r="G156" i="20"/>
  <c r="J157" i="20"/>
  <c r="F64" i="13"/>
  <c r="F65" i="13"/>
  <c r="K156" i="20" l="1"/>
  <c r="J156" i="20"/>
  <c r="G155" i="20"/>
  <c r="I156" i="20"/>
  <c r="G65" i="13"/>
  <c r="G64" i="13"/>
  <c r="G36" i="10"/>
  <c r="G154" i="20" l="1"/>
  <c r="J155" i="20"/>
  <c r="I155" i="20"/>
  <c r="K155" i="20"/>
  <c r="H123" i="20"/>
  <c r="I154" i="20" l="1"/>
  <c r="G153" i="20"/>
  <c r="K154" i="20"/>
  <c r="J154" i="20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K153" i="20" l="1"/>
  <c r="G152" i="20"/>
  <c r="J153" i="20"/>
  <c r="I153" i="20"/>
  <c r="H25" i="24"/>
  <c r="C24" i="24"/>
  <c r="D2" i="24"/>
  <c r="G2" i="24"/>
  <c r="G25" i="24" s="1"/>
  <c r="H121" i="20"/>
  <c r="G151" i="20" l="1"/>
  <c r="I152" i="20"/>
  <c r="J152" i="20"/>
  <c r="K152" i="20"/>
  <c r="H30" i="24"/>
  <c r="I2" i="24"/>
  <c r="I25" i="24" s="1"/>
  <c r="I30" i="24" s="1"/>
  <c r="D24" i="24"/>
  <c r="I151" i="20" l="1"/>
  <c r="J151" i="20"/>
  <c r="G150" i="20"/>
  <c r="K151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49" i="20" l="1"/>
  <c r="I150" i="20"/>
  <c r="K150" i="20"/>
  <c r="J150" i="20"/>
  <c r="F137" i="15"/>
  <c r="F136" i="15"/>
  <c r="I149" i="20" l="1"/>
  <c r="G148" i="20"/>
  <c r="J149" i="20"/>
  <c r="K149" i="20"/>
  <c r="G147" i="20" l="1"/>
  <c r="J148" i="20"/>
  <c r="K148" i="20"/>
  <c r="I148" i="20"/>
  <c r="H120" i="20"/>
  <c r="J147" i="20" l="1"/>
  <c r="K147" i="20"/>
  <c r="G146" i="20"/>
  <c r="I147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K146" i="20" l="1"/>
  <c r="J146" i="20"/>
  <c r="I146" i="20"/>
  <c r="G145" i="20"/>
  <c r="D42" i="22"/>
  <c r="I145" i="20" l="1"/>
  <c r="G144" i="20"/>
  <c r="K145" i="20"/>
  <c r="J145" i="20"/>
  <c r="G30" i="10"/>
  <c r="G31" i="10"/>
  <c r="G33" i="10"/>
  <c r="G34" i="10"/>
  <c r="G35" i="10"/>
  <c r="G29" i="10"/>
  <c r="G143" i="20" l="1"/>
  <c r="J144" i="20"/>
  <c r="K144" i="20"/>
  <c r="I144" i="20"/>
  <c r="H119" i="20"/>
  <c r="H118" i="20"/>
  <c r="K143" i="20" l="1"/>
  <c r="I143" i="20"/>
  <c r="J143" i="20"/>
  <c r="G142" i="20"/>
  <c r="G63" i="13"/>
  <c r="F52" i="13"/>
  <c r="G141" i="20" l="1"/>
  <c r="I142" i="20"/>
  <c r="J142" i="20"/>
  <c r="K142" i="20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140" i="20" l="1"/>
  <c r="I141" i="20"/>
  <c r="J141" i="20"/>
  <c r="K141" i="20"/>
  <c r="G61" i="13"/>
  <c r="G139" i="20" l="1"/>
  <c r="K140" i="20"/>
  <c r="J140" i="20"/>
  <c r="I140" i="20"/>
  <c r="G60" i="13"/>
  <c r="G138" i="20" l="1"/>
  <c r="K139" i="20"/>
  <c r="I139" i="20"/>
  <c r="J139" i="20"/>
  <c r="G59" i="13"/>
  <c r="F47" i="13"/>
  <c r="F48" i="13"/>
  <c r="F49" i="13"/>
  <c r="F50" i="13"/>
  <c r="F51" i="13"/>
  <c r="F53" i="13"/>
  <c r="F54" i="13"/>
  <c r="F55" i="13"/>
  <c r="D44" i="21"/>
  <c r="H116" i="20"/>
  <c r="G137" i="20" l="1"/>
  <c r="K138" i="20"/>
  <c r="J138" i="20"/>
  <c r="I138" i="20"/>
  <c r="G57" i="13"/>
  <c r="G58" i="13"/>
  <c r="G136" i="20" l="1"/>
  <c r="K137" i="20"/>
  <c r="I137" i="20"/>
  <c r="J137" i="20"/>
  <c r="G56" i="13"/>
  <c r="H115" i="20"/>
  <c r="F42" i="13"/>
  <c r="F43" i="13"/>
  <c r="F44" i="13"/>
  <c r="F45" i="13"/>
  <c r="F46" i="13"/>
  <c r="F41" i="13"/>
  <c r="F40" i="13"/>
  <c r="K136" i="20" l="1"/>
  <c r="J136" i="20"/>
  <c r="I136" i="20"/>
  <c r="G135" i="20"/>
  <c r="G55" i="13"/>
  <c r="G134" i="20" l="1"/>
  <c r="J135" i="20"/>
  <c r="K135" i="20"/>
  <c r="I135" i="20"/>
  <c r="G54" i="13"/>
  <c r="F39" i="13"/>
  <c r="G133" i="20" l="1"/>
  <c r="K134" i="20"/>
  <c r="I134" i="20"/>
  <c r="J134" i="20"/>
  <c r="G53" i="13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H114" i="20"/>
  <c r="H113" i="20"/>
  <c r="G132" i="20" l="1"/>
  <c r="J133" i="20"/>
  <c r="I133" i="20"/>
  <c r="K133" i="20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G131" i="20" l="1"/>
  <c r="I132" i="20"/>
  <c r="J132" i="20"/>
  <c r="K132" i="20"/>
  <c r="E51" i="13"/>
  <c r="G52" i="13"/>
  <c r="F124" i="15"/>
  <c r="F122" i="15"/>
  <c r="F121" i="15"/>
  <c r="G130" i="20" l="1"/>
  <c r="I131" i="20"/>
  <c r="K131" i="20"/>
  <c r="J131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371" i="20" l="1"/>
  <c r="I130" i="20"/>
  <c r="J130" i="20"/>
  <c r="G129" i="20"/>
  <c r="K130" i="20"/>
  <c r="E49" i="13"/>
  <c r="G50" i="13"/>
  <c r="G128" i="20" l="1"/>
  <c r="J129" i="20"/>
  <c r="I129" i="20"/>
  <c r="K129" i="20"/>
  <c r="N17" i="18"/>
  <c r="N75" i="18" s="1"/>
  <c r="D378" i="20"/>
  <c r="E48" i="13"/>
  <c r="G49" i="13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G127" i="20" l="1"/>
  <c r="K128" i="20"/>
  <c r="J128" i="20"/>
  <c r="I128" i="20"/>
  <c r="N76" i="18"/>
  <c r="E47" i="13"/>
  <c r="G48" i="13"/>
  <c r="F120" i="15"/>
  <c r="D55" i="17"/>
  <c r="G126" i="20" l="1"/>
  <c r="I127" i="20"/>
  <c r="K127" i="20"/>
  <c r="J127" i="20"/>
  <c r="E46" i="13"/>
  <c r="G47" i="13"/>
  <c r="F119" i="15"/>
  <c r="G125" i="20" l="1"/>
  <c r="K126" i="20"/>
  <c r="J126" i="20"/>
  <c r="I126" i="20"/>
  <c r="E45" i="13"/>
  <c r="G46" i="13"/>
  <c r="F118" i="15"/>
  <c r="G124" i="20" l="1"/>
  <c r="J125" i="20"/>
  <c r="K125" i="20"/>
  <c r="I125" i="20"/>
  <c r="E44" i="13"/>
  <c r="G45" i="13"/>
  <c r="F117" i="15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G123" i="20" l="1"/>
  <c r="J124" i="20"/>
  <c r="K124" i="20"/>
  <c r="I124" i="20"/>
  <c r="D17" i="18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E43" i="13"/>
  <c r="G44" i="13"/>
  <c r="F116" i="15"/>
  <c r="C5" i="18"/>
  <c r="C6" i="18" s="1"/>
  <c r="C7" i="18" s="1"/>
  <c r="C8" i="18" s="1"/>
  <c r="C9" i="18" s="1"/>
  <c r="C10" i="18" s="1"/>
  <c r="G122" i="20" l="1"/>
  <c r="J123" i="20"/>
  <c r="K123" i="20"/>
  <c r="I123" i="20"/>
  <c r="E42" i="13"/>
  <c r="G43" i="13"/>
  <c r="F115" i="15"/>
  <c r="C11" i="18"/>
  <c r="G121" i="20" l="1"/>
  <c r="J122" i="20"/>
  <c r="K122" i="20"/>
  <c r="I122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G120" i="20" l="1"/>
  <c r="J121" i="20"/>
  <c r="K121" i="20"/>
  <c r="I121" i="20"/>
  <c r="E40" i="13"/>
  <c r="G41" i="13"/>
  <c r="C13" i="18"/>
  <c r="L16" i="18"/>
  <c r="G119" i="20" l="1"/>
  <c r="K120" i="20"/>
  <c r="J120" i="20"/>
  <c r="I120" i="20"/>
  <c r="E39" i="13"/>
  <c r="G40" i="13"/>
  <c r="C14" i="18"/>
  <c r="G118" i="20" l="1"/>
  <c r="J119" i="20"/>
  <c r="I119" i="20"/>
  <c r="K119" i="20"/>
  <c r="E38" i="13"/>
  <c r="G39" i="13"/>
  <c r="F113" i="15"/>
  <c r="G117" i="20" l="1"/>
  <c r="K118" i="20"/>
  <c r="J118" i="20"/>
  <c r="I118" i="20"/>
  <c r="E37" i="13"/>
  <c r="G38" i="13"/>
  <c r="F112" i="15"/>
  <c r="G116" i="20" l="1"/>
  <c r="K117" i="20"/>
  <c r="I117" i="20"/>
  <c r="J117" i="20"/>
  <c r="E36" i="13"/>
  <c r="G37" i="13"/>
  <c r="F111" i="15"/>
  <c r="C17" i="18"/>
  <c r="G115" i="20" l="1"/>
  <c r="J116" i="20"/>
  <c r="I116" i="20"/>
  <c r="K116" i="20"/>
  <c r="E35" i="13"/>
  <c r="G36" i="13"/>
  <c r="F110" i="15"/>
  <c r="C18" i="18"/>
  <c r="G114" i="20" l="1"/>
  <c r="K115" i="20"/>
  <c r="J115" i="20"/>
  <c r="I115" i="20"/>
  <c r="E34" i="13"/>
  <c r="G35" i="13"/>
  <c r="F109" i="15"/>
  <c r="C19" i="18"/>
  <c r="L17" i="18"/>
  <c r="L75" i="18" l="1"/>
  <c r="F24" i="18" s="1"/>
  <c r="G113" i="20"/>
  <c r="J114" i="20"/>
  <c r="I114" i="20"/>
  <c r="K114" i="20"/>
  <c r="L76" i="18"/>
  <c r="E33" i="13"/>
  <c r="G34" i="13"/>
  <c r="F108" i="15"/>
  <c r="C20" i="18"/>
  <c r="G20" i="14"/>
  <c r="G21" i="14"/>
  <c r="G112" i="20" l="1"/>
  <c r="K113" i="20"/>
  <c r="J113" i="20"/>
  <c r="I113" i="20"/>
  <c r="L77" i="18"/>
  <c r="G15" i="18"/>
  <c r="G16" i="18"/>
  <c r="E32" i="13"/>
  <c r="G33" i="13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G111" i="20" l="1"/>
  <c r="K112" i="20"/>
  <c r="I112" i="20"/>
  <c r="J112" i="20"/>
  <c r="E31" i="13"/>
  <c r="G32" i="13"/>
  <c r="F106" i="15"/>
  <c r="G2" i="18"/>
  <c r="G3" i="18"/>
  <c r="C22" i="18"/>
  <c r="E22" i="18" s="1"/>
  <c r="G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G110" i="20" l="1"/>
  <c r="I111" i="20"/>
  <c r="J111" i="20"/>
  <c r="K111" i="20"/>
  <c r="E30" i="13"/>
  <c r="G31" i="13"/>
  <c r="F105" i="15"/>
  <c r="E4" i="18"/>
  <c r="C23" i="18"/>
  <c r="E16" i="14"/>
  <c r="G17" i="14"/>
  <c r="D65" i="9"/>
  <c r="G109" i="20" l="1"/>
  <c r="K110" i="20"/>
  <c r="I110" i="20"/>
  <c r="J110" i="20"/>
  <c r="E29" i="13"/>
  <c r="G30" i="13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G108" i="20" l="1"/>
  <c r="J109" i="20"/>
  <c r="I109" i="20"/>
  <c r="K109" i="20"/>
  <c r="E28" i="13"/>
  <c r="G29" i="13"/>
  <c r="E6" i="18"/>
  <c r="G5" i="18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G107" i="20" l="1"/>
  <c r="J108" i="20"/>
  <c r="I108" i="20"/>
  <c r="K108" i="20"/>
  <c r="E7" i="18"/>
  <c r="G6" i="18"/>
  <c r="E27" i="13"/>
  <c r="G28" i="13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G106" i="20" l="1"/>
  <c r="K107" i="20"/>
  <c r="I107" i="20"/>
  <c r="J107" i="20"/>
  <c r="E8" i="18"/>
  <c r="G7" i="18"/>
  <c r="F10" i="10"/>
  <c r="F20" i="10" s="1"/>
  <c r="F22" i="10" s="1"/>
  <c r="F9" i="10"/>
  <c r="F8" i="10"/>
  <c r="E26" i="13"/>
  <c r="G27" i="13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G105" i="20" l="1"/>
  <c r="J106" i="20"/>
  <c r="I106" i="20"/>
  <c r="K106" i="20"/>
  <c r="E9" i="18"/>
  <c r="G8" i="18"/>
  <c r="E25" i="13"/>
  <c r="G26" i="13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G104" i="20" l="1"/>
  <c r="J105" i="20"/>
  <c r="I105" i="20"/>
  <c r="K105" i="20"/>
  <c r="E10" i="18"/>
  <c r="G9" i="18"/>
  <c r="E24" i="13"/>
  <c r="G25" i="13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G103" i="20" l="1"/>
  <c r="K104" i="20"/>
  <c r="J104" i="20"/>
  <c r="I104" i="20"/>
  <c r="E11" i="18"/>
  <c r="G10" i="18"/>
  <c r="E23" i="13"/>
  <c r="G24" i="13"/>
  <c r="F98" i="15"/>
  <c r="C30" i="18"/>
  <c r="G10" i="14"/>
  <c r="E9" i="14"/>
  <c r="G13" i="6"/>
  <c r="H16" i="6"/>
  <c r="G16" i="6"/>
  <c r="G102" i="20" l="1"/>
  <c r="I103" i="20"/>
  <c r="K103" i="20"/>
  <c r="J103" i="20"/>
  <c r="E12" i="18"/>
  <c r="G11" i="18"/>
  <c r="G23" i="13"/>
  <c r="E22" i="13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G101" i="20" l="1"/>
  <c r="I102" i="20"/>
  <c r="J102" i="20"/>
  <c r="K102" i="20"/>
  <c r="E13" i="18"/>
  <c r="G12" i="18"/>
  <c r="E21" i="13"/>
  <c r="G22" i="13"/>
  <c r="F96" i="15"/>
  <c r="C32" i="18"/>
  <c r="E7" i="14"/>
  <c r="G8" i="14"/>
  <c r="I5" i="6"/>
  <c r="G100" i="20" l="1"/>
  <c r="J101" i="20"/>
  <c r="I101" i="20"/>
  <c r="K101" i="20"/>
  <c r="E14" i="18"/>
  <c r="G13" i="18"/>
  <c r="G21" i="13"/>
  <c r="E20" i="13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G99" i="20" l="1"/>
  <c r="I100" i="20"/>
  <c r="J100" i="20"/>
  <c r="K100" i="20"/>
  <c r="E17" i="18"/>
  <c r="G14" i="18"/>
  <c r="G20" i="13"/>
  <c r="E19" i="13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G98" i="20" l="1"/>
  <c r="K99" i="20"/>
  <c r="I99" i="20"/>
  <c r="J99" i="20"/>
  <c r="E18" i="18"/>
  <c r="G17" i="18"/>
  <c r="E18" i="13"/>
  <c r="G19" i="13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G97" i="20" l="1"/>
  <c r="K98" i="20"/>
  <c r="J98" i="20"/>
  <c r="I98" i="20"/>
  <c r="E19" i="18"/>
  <c r="G18" i="18"/>
  <c r="H23" i="5"/>
  <c r="E17" i="13"/>
  <c r="G18" i="13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96" i="20" l="1"/>
  <c r="K97" i="20"/>
  <c r="J97" i="20"/>
  <c r="I97" i="20"/>
  <c r="E20" i="18"/>
  <c r="G19" i="18"/>
  <c r="G88" i="16"/>
  <c r="G17" i="13"/>
  <c r="E16" i="13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95" i="20" l="1"/>
  <c r="K96" i="20"/>
  <c r="I96" i="20"/>
  <c r="J96" i="20"/>
  <c r="G20" i="18"/>
  <c r="G51" i="14"/>
  <c r="G54" i="14" s="1"/>
  <c r="G16" i="13"/>
  <c r="E15" i="13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G94" i="20" l="1"/>
  <c r="J95" i="20"/>
  <c r="I95" i="20"/>
  <c r="K95" i="20"/>
  <c r="E23" i="18"/>
  <c r="G21" i="18"/>
  <c r="E14" i="13"/>
  <c r="G15" i="13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93" i="20" l="1"/>
  <c r="I94" i="20"/>
  <c r="J94" i="20"/>
  <c r="K94" i="20"/>
  <c r="E24" i="18"/>
  <c r="G23" i="18"/>
  <c r="G14" i="13"/>
  <c r="E13" i="13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92" i="20" l="1"/>
  <c r="J93" i="20"/>
  <c r="K93" i="20"/>
  <c r="I93" i="20"/>
  <c r="E25" i="18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G24" i="18"/>
  <c r="G13" i="13"/>
  <c r="E12" i="13"/>
  <c r="F87" i="15"/>
  <c r="G2" i="12"/>
  <c r="G25" i="12" s="1"/>
  <c r="B24" i="12"/>
  <c r="B2" i="17" s="1"/>
  <c r="C41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91" i="20" l="1"/>
  <c r="K92" i="20"/>
  <c r="I92" i="20"/>
  <c r="J92" i="20"/>
  <c r="G12" i="13"/>
  <c r="E11" i="13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90" i="20" l="1"/>
  <c r="I91" i="20"/>
  <c r="J91" i="20"/>
  <c r="K91" i="20"/>
  <c r="G11" i="13"/>
  <c r="E10" i="13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G89" i="20" l="1"/>
  <c r="J90" i="20"/>
  <c r="I90" i="20"/>
  <c r="K90" i="20"/>
  <c r="B25" i="21"/>
  <c r="B2" i="22" s="1"/>
  <c r="G2" i="21"/>
  <c r="G26" i="21" s="1"/>
  <c r="G31" i="21" s="1"/>
  <c r="G10" i="13"/>
  <c r="E9" i="13"/>
  <c r="F84" i="15"/>
  <c r="D24" i="11"/>
  <c r="I2" i="11"/>
  <c r="C24" i="12"/>
  <c r="C2" i="17" s="1"/>
  <c r="H2" i="12"/>
  <c r="H25" i="12" s="1"/>
  <c r="H30" i="12" s="1"/>
  <c r="D2" i="12"/>
  <c r="C44" i="18"/>
  <c r="E43" i="18"/>
  <c r="G88" i="20" l="1"/>
  <c r="I89" i="20"/>
  <c r="J89" i="20"/>
  <c r="K89" i="20"/>
  <c r="B24" i="22"/>
  <c r="B2" i="23" s="1"/>
  <c r="G2" i="22"/>
  <c r="G25" i="22" s="1"/>
  <c r="G30" i="22" s="1"/>
  <c r="G9" i="13"/>
  <c r="E8" i="13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G87" i="20" l="1"/>
  <c r="J88" i="20"/>
  <c r="K88" i="20"/>
  <c r="I88" i="20"/>
  <c r="B24" i="23"/>
  <c r="G2" i="23"/>
  <c r="G25" i="23" s="1"/>
  <c r="G8" i="13"/>
  <c r="E7" i="13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G86" i="20" l="1"/>
  <c r="K87" i="20"/>
  <c r="J87" i="20"/>
  <c r="I87" i="20"/>
  <c r="H2" i="21"/>
  <c r="H26" i="21" s="1"/>
  <c r="H31" i="21" s="1"/>
  <c r="C25" i="21"/>
  <c r="C2" i="22" s="1"/>
  <c r="D2" i="21"/>
  <c r="G7" i="13"/>
  <c r="E6" i="13"/>
  <c r="F81" i="15"/>
  <c r="I2" i="19"/>
  <c r="D24" i="19"/>
  <c r="E46" i="18"/>
  <c r="C47" i="18"/>
  <c r="G85" i="20" l="1"/>
  <c r="J86" i="20"/>
  <c r="I86" i="20"/>
  <c r="K86" i="20"/>
  <c r="E47" i="18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F80" i="15"/>
  <c r="C48" i="18"/>
  <c r="G84" i="20" l="1"/>
  <c r="J85" i="20"/>
  <c r="I85" i="20"/>
  <c r="K85" i="20"/>
  <c r="E48" i="18"/>
  <c r="I2" i="22"/>
  <c r="I25" i="22" s="1"/>
  <c r="I30" i="22" s="1"/>
  <c r="D24" i="22"/>
  <c r="C24" i="23"/>
  <c r="H2" i="23"/>
  <c r="H30" i="23" s="1"/>
  <c r="D2" i="23"/>
  <c r="G5" i="13"/>
  <c r="E4" i="13"/>
  <c r="F79" i="15"/>
  <c r="C49" i="18"/>
  <c r="G83" i="20" l="1"/>
  <c r="K84" i="20"/>
  <c r="I84" i="20"/>
  <c r="J84" i="20"/>
  <c r="E49" i="18"/>
  <c r="D24" i="23"/>
  <c r="I2" i="23"/>
  <c r="I25" i="23" s="1"/>
  <c r="I30" i="23" s="1"/>
  <c r="G4" i="13"/>
  <c r="E3" i="13"/>
  <c r="F78" i="15"/>
  <c r="C50" i="18"/>
  <c r="G82" i="20" l="1"/>
  <c r="K83" i="20"/>
  <c r="I83" i="20"/>
  <c r="J83" i="20"/>
  <c r="E50" i="18"/>
  <c r="G3" i="13"/>
  <c r="E2" i="13"/>
  <c r="G2" i="13" s="1"/>
  <c r="F77" i="15"/>
  <c r="C51" i="18"/>
  <c r="G81" i="20" l="1"/>
  <c r="K82" i="20"/>
  <c r="I82" i="20"/>
  <c r="J82" i="20"/>
  <c r="F76" i="15"/>
  <c r="C52" i="18"/>
  <c r="E51" i="18"/>
  <c r="G80" i="20" l="1"/>
  <c r="K81" i="20"/>
  <c r="J81" i="20"/>
  <c r="I81" i="20"/>
  <c r="E52" i="18"/>
  <c r="F75" i="15"/>
  <c r="C53" i="18"/>
  <c r="G79" i="20" l="1"/>
  <c r="I80" i="20"/>
  <c r="J80" i="20"/>
  <c r="K80" i="20"/>
  <c r="F74" i="15"/>
  <c r="C54" i="18"/>
  <c r="E53" i="18"/>
  <c r="G78" i="20" l="1"/>
  <c r="K79" i="20"/>
  <c r="I79" i="20"/>
  <c r="J79" i="20"/>
  <c r="E54" i="18"/>
  <c r="F73" i="15"/>
  <c r="C55" i="18"/>
  <c r="G77" i="20" l="1"/>
  <c r="K78" i="20"/>
  <c r="I78" i="20"/>
  <c r="J78" i="20"/>
  <c r="F72" i="15"/>
  <c r="C56" i="18"/>
  <c r="E55" i="18"/>
  <c r="G76" i="20" l="1"/>
  <c r="J77" i="20"/>
  <c r="K77" i="20"/>
  <c r="I77" i="20"/>
  <c r="E56" i="18"/>
  <c r="F71" i="15"/>
  <c r="C57" i="18"/>
  <c r="G75" i="20" l="1"/>
  <c r="J76" i="20"/>
  <c r="K76" i="20"/>
  <c r="I76" i="20"/>
  <c r="E57" i="18"/>
  <c r="F70" i="15"/>
  <c r="C58" i="18"/>
  <c r="G74" i="20" l="1"/>
  <c r="I75" i="20"/>
  <c r="K75" i="20"/>
  <c r="J75" i="20"/>
  <c r="E58" i="18"/>
  <c r="F69" i="15"/>
  <c r="C59" i="18"/>
  <c r="G73" i="20" l="1"/>
  <c r="J74" i="20"/>
  <c r="I74" i="20"/>
  <c r="K74" i="20"/>
  <c r="F68" i="15"/>
  <c r="C60" i="18"/>
  <c r="E59" i="18"/>
  <c r="G72" i="20" l="1"/>
  <c r="J73" i="20"/>
  <c r="I73" i="20"/>
  <c r="K73" i="20"/>
  <c r="E60" i="18"/>
  <c r="F67" i="15"/>
  <c r="C61" i="18"/>
  <c r="G71" i="20" l="1"/>
  <c r="J72" i="20"/>
  <c r="I72" i="20"/>
  <c r="K72" i="20"/>
  <c r="F66" i="15"/>
  <c r="C62" i="18"/>
  <c r="E61" i="18"/>
  <c r="G70" i="20" l="1"/>
  <c r="K71" i="20"/>
  <c r="I71" i="20"/>
  <c r="J71" i="20"/>
  <c r="E62" i="18"/>
  <c r="F65" i="15"/>
  <c r="G69" i="20" l="1"/>
  <c r="K70" i="20"/>
  <c r="I70" i="20"/>
  <c r="J70" i="20"/>
  <c r="F64" i="15"/>
  <c r="G68" i="20" l="1"/>
  <c r="I69" i="20"/>
  <c r="J69" i="20"/>
  <c r="K69" i="20"/>
  <c r="F63" i="15"/>
  <c r="G67" i="20" l="1"/>
  <c r="J68" i="20"/>
  <c r="K68" i="20"/>
  <c r="I68" i="20"/>
  <c r="F62" i="15"/>
  <c r="G66" i="20" l="1"/>
  <c r="K67" i="20"/>
  <c r="I67" i="20"/>
  <c r="J67" i="20"/>
  <c r="F61" i="15"/>
  <c r="G65" i="20" l="1"/>
  <c r="J66" i="20"/>
  <c r="I66" i="20"/>
  <c r="K66" i="20"/>
  <c r="F60" i="15"/>
  <c r="G64" i="20" l="1"/>
  <c r="J65" i="20"/>
  <c r="I65" i="20"/>
  <c r="K65" i="20"/>
  <c r="F59" i="15"/>
  <c r="G63" i="20" l="1"/>
  <c r="K64" i="20"/>
  <c r="J64" i="20"/>
  <c r="I64" i="20"/>
  <c r="F58" i="15"/>
  <c r="G62" i="20" l="1"/>
  <c r="J63" i="20"/>
  <c r="I63" i="20"/>
  <c r="K63" i="20"/>
  <c r="F57" i="15"/>
  <c r="G61" i="20" l="1"/>
  <c r="K62" i="20"/>
  <c r="I62" i="20"/>
  <c r="J62" i="20"/>
  <c r="F56" i="15"/>
  <c r="G60" i="20" l="1"/>
  <c r="I61" i="20"/>
  <c r="J61" i="20"/>
  <c r="K61" i="20"/>
  <c r="F55" i="15"/>
  <c r="G59" i="20" l="1"/>
  <c r="J60" i="20"/>
  <c r="I60" i="20"/>
  <c r="K60" i="20"/>
  <c r="F54" i="15"/>
  <c r="G58" i="20" l="1"/>
  <c r="J59" i="20"/>
  <c r="I59" i="20"/>
  <c r="K59" i="20"/>
  <c r="F53" i="15"/>
  <c r="G57" i="20" l="1"/>
  <c r="I58" i="20"/>
  <c r="J58" i="20"/>
  <c r="K58" i="20"/>
  <c r="F52" i="15"/>
  <c r="G56" i="20" l="1"/>
  <c r="K57" i="20"/>
  <c r="J57" i="20"/>
  <c r="I57" i="20"/>
  <c r="F51" i="15"/>
  <c r="G55" i="20" l="1"/>
  <c r="I56" i="20"/>
  <c r="K56" i="20"/>
  <c r="J56" i="20"/>
  <c r="F50" i="15"/>
  <c r="G54" i="20" l="1"/>
  <c r="J55" i="20"/>
  <c r="K55" i="20"/>
  <c r="I55" i="20"/>
  <c r="F49" i="15"/>
  <c r="G53" i="20" l="1"/>
  <c r="I54" i="20"/>
  <c r="J54" i="20"/>
  <c r="K54" i="20"/>
  <c r="F48" i="15"/>
  <c r="G52" i="20" l="1"/>
  <c r="K53" i="20"/>
  <c r="I53" i="20"/>
  <c r="J53" i="20"/>
  <c r="F47" i="15"/>
  <c r="G51" i="20" l="1"/>
  <c r="I52" i="20"/>
  <c r="J52" i="20"/>
  <c r="K52" i="20"/>
  <c r="F46" i="15"/>
  <c r="G50" i="20" l="1"/>
  <c r="J51" i="20"/>
  <c r="K51" i="20"/>
  <c r="I51" i="20"/>
  <c r="F45" i="15"/>
  <c r="G49" i="20" l="1"/>
  <c r="I50" i="20"/>
  <c r="J50" i="20"/>
  <c r="K50" i="20"/>
  <c r="F44" i="15"/>
  <c r="G48" i="20" l="1"/>
  <c r="K49" i="20"/>
  <c r="J49" i="20"/>
  <c r="I49" i="20"/>
  <c r="F43" i="15"/>
  <c r="G47" i="20" l="1"/>
  <c r="I48" i="20"/>
  <c r="K48" i="20"/>
  <c r="J48" i="20"/>
  <c r="F42" i="15"/>
  <c r="G46" i="20" l="1"/>
  <c r="J47" i="20"/>
  <c r="I47" i="20"/>
  <c r="K47" i="20"/>
  <c r="F41" i="15"/>
  <c r="G45" i="20" l="1"/>
  <c r="I46" i="20"/>
  <c r="K46" i="20"/>
  <c r="J46" i="20"/>
  <c r="F40" i="15"/>
  <c r="G44" i="20" l="1"/>
  <c r="I45" i="20"/>
  <c r="J45" i="20"/>
  <c r="K45" i="20"/>
  <c r="F39" i="15"/>
  <c r="G43" i="20" l="1"/>
  <c r="I44" i="20"/>
  <c r="J44" i="20"/>
  <c r="K44" i="20"/>
  <c r="F38" i="15"/>
  <c r="G42" i="20" l="1"/>
  <c r="J43" i="20"/>
  <c r="K43" i="20"/>
  <c r="I43" i="20"/>
  <c r="F37" i="15"/>
  <c r="G41" i="20" l="1"/>
  <c r="I42" i="20"/>
  <c r="K42" i="20"/>
  <c r="J42" i="20"/>
  <c r="F36" i="15"/>
  <c r="G40" i="20" l="1"/>
  <c r="K41" i="20"/>
  <c r="J41" i="20"/>
  <c r="I41" i="20"/>
  <c r="F35" i="15"/>
  <c r="G39" i="20" l="1"/>
  <c r="I40" i="20"/>
  <c r="J40" i="20"/>
  <c r="K40" i="20"/>
  <c r="F34" i="15"/>
  <c r="G38" i="20" l="1"/>
  <c r="J39" i="20"/>
  <c r="K39" i="20"/>
  <c r="I39" i="20"/>
  <c r="F33" i="15"/>
  <c r="G37" i="20" l="1"/>
  <c r="I38" i="20"/>
  <c r="K38" i="20"/>
  <c r="J38" i="20"/>
  <c r="F32" i="15"/>
  <c r="G36" i="20" l="1"/>
  <c r="I37" i="20"/>
  <c r="J37" i="20"/>
  <c r="K37" i="20"/>
  <c r="F31" i="15"/>
  <c r="G35" i="20" l="1"/>
  <c r="I36" i="20"/>
  <c r="J36" i="20"/>
  <c r="K36" i="20"/>
  <c r="F30" i="15"/>
  <c r="G34" i="20" l="1"/>
  <c r="J35" i="20"/>
  <c r="K35" i="20"/>
  <c r="I35" i="20"/>
  <c r="F29" i="15"/>
  <c r="G33" i="20" l="1"/>
  <c r="K34" i="20"/>
  <c r="J34" i="20"/>
  <c r="I34" i="20"/>
  <c r="F28" i="15"/>
  <c r="G32" i="20" l="1"/>
  <c r="K33" i="20"/>
  <c r="J33" i="20"/>
  <c r="I33" i="20"/>
  <c r="F27" i="15"/>
  <c r="G31" i="20" l="1"/>
  <c r="J32" i="20"/>
  <c r="K32" i="20"/>
  <c r="I32" i="20"/>
  <c r="F26" i="15"/>
  <c r="G30" i="20" l="1"/>
  <c r="J31" i="20"/>
  <c r="K31" i="20"/>
  <c r="I31" i="20"/>
  <c r="F25" i="15"/>
  <c r="G29" i="20" l="1"/>
  <c r="J30" i="20"/>
  <c r="K30" i="20"/>
  <c r="I30" i="20"/>
  <c r="F24" i="15"/>
  <c r="G28" i="20" l="1"/>
  <c r="I29" i="20"/>
  <c r="J29" i="20"/>
  <c r="K29" i="20"/>
  <c r="F23" i="15"/>
  <c r="G27" i="20" l="1"/>
  <c r="I28" i="20"/>
  <c r="J28" i="20"/>
  <c r="K28" i="20"/>
  <c r="F22" i="15"/>
  <c r="G26" i="20" l="1"/>
  <c r="J27" i="20"/>
  <c r="K27" i="20"/>
  <c r="I27" i="20"/>
  <c r="F21" i="15"/>
  <c r="G25" i="20" l="1"/>
  <c r="J26" i="20"/>
  <c r="K26" i="20"/>
  <c r="I26" i="20"/>
  <c r="F20" i="15"/>
  <c r="G24" i="20" l="1"/>
  <c r="K25" i="20"/>
  <c r="J25" i="20"/>
  <c r="I25" i="20"/>
  <c r="F19" i="15"/>
  <c r="G23" i="20" l="1"/>
  <c r="I24" i="20"/>
  <c r="J24" i="20"/>
  <c r="K24" i="20"/>
  <c r="F18" i="15"/>
  <c r="G22" i="20" l="1"/>
  <c r="J23" i="20"/>
  <c r="K23" i="20"/>
  <c r="I23" i="20"/>
  <c r="F17" i="15"/>
  <c r="G21" i="20" l="1"/>
  <c r="J22" i="20"/>
  <c r="K22" i="20"/>
  <c r="I22" i="20"/>
  <c r="F16" i="15"/>
  <c r="G20" i="20" l="1"/>
  <c r="I21" i="20"/>
  <c r="J21" i="20"/>
  <c r="K21" i="20"/>
  <c r="F15" i="15"/>
  <c r="G19" i="20" l="1"/>
  <c r="I20" i="20"/>
  <c r="J20" i="20"/>
  <c r="K20" i="20"/>
  <c r="F14" i="15"/>
  <c r="G18" i="20" l="1"/>
  <c r="J19" i="20"/>
  <c r="K19" i="20"/>
  <c r="I19" i="20"/>
  <c r="F13" i="15"/>
  <c r="G17" i="20" l="1"/>
  <c r="K18" i="20"/>
  <c r="I18" i="20"/>
  <c r="J18" i="20"/>
  <c r="F12" i="15"/>
  <c r="G16" i="20" l="1"/>
  <c r="I17" i="20"/>
  <c r="K17" i="20"/>
  <c r="J17" i="20"/>
  <c r="F11" i="15"/>
  <c r="G15" i="20" l="1"/>
  <c r="I16" i="20"/>
  <c r="J16" i="20"/>
  <c r="K16" i="20"/>
  <c r="F10" i="15"/>
  <c r="G14" i="20" l="1"/>
  <c r="J15" i="20"/>
  <c r="K15" i="20"/>
  <c r="I15" i="20"/>
  <c r="F9" i="15"/>
  <c r="G13" i="20" l="1"/>
  <c r="K14" i="20"/>
  <c r="I14" i="20"/>
  <c r="J14" i="20"/>
  <c r="F8" i="15"/>
  <c r="G12" i="20" l="1"/>
  <c r="I13" i="20"/>
  <c r="J13" i="20"/>
  <c r="K13" i="20"/>
  <c r="F7" i="15"/>
  <c r="G11" i="20" l="1"/>
  <c r="I12" i="20"/>
  <c r="J12" i="20"/>
  <c r="K12" i="20"/>
  <c r="F6" i="15"/>
  <c r="G10" i="20" l="1"/>
  <c r="J11" i="20"/>
  <c r="K11" i="20"/>
  <c r="I11" i="20"/>
  <c r="F5" i="15"/>
  <c r="G9" i="20" l="1"/>
  <c r="K10" i="20"/>
  <c r="I10" i="20"/>
  <c r="J10" i="20"/>
  <c r="F4" i="15"/>
  <c r="G8" i="20" l="1"/>
  <c r="J9" i="20"/>
  <c r="K9" i="20"/>
  <c r="I9" i="20"/>
  <c r="F2" i="15"/>
  <c r="F3" i="15"/>
  <c r="G7" i="20" l="1"/>
  <c r="I8" i="20"/>
  <c r="K8" i="20"/>
  <c r="J8" i="20"/>
  <c r="F280" i="15"/>
  <c r="F283" i="15" s="1"/>
  <c r="G6" i="20" l="1"/>
  <c r="J7" i="20"/>
  <c r="K7" i="20"/>
  <c r="I7" i="20"/>
  <c r="V154" i="18"/>
  <c r="V156" i="18"/>
  <c r="G5" i="20" l="1"/>
  <c r="K6" i="20"/>
  <c r="J6" i="20"/>
  <c r="I6" i="20"/>
  <c r="G4" i="20" l="1"/>
  <c r="I5" i="20"/>
  <c r="J5" i="20"/>
  <c r="K5" i="20"/>
  <c r="G3" i="20" l="1"/>
  <c r="I4" i="20"/>
  <c r="J4" i="20"/>
  <c r="K4" i="20"/>
  <c r="G2" i="20" l="1"/>
  <c r="J3" i="20"/>
  <c r="K3" i="20"/>
  <c r="I3" i="20"/>
  <c r="K2" i="20" l="1"/>
  <c r="K371" i="20" s="1"/>
  <c r="I2" i="20"/>
  <c r="I371" i="20" s="1"/>
  <c r="I374" i="20" s="1"/>
  <c r="J2" i="20"/>
  <c r="J371" i="20" s="1"/>
  <c r="J374" i="20" l="1"/>
  <c r="J378" i="20"/>
  <c r="K374" i="20"/>
  <c r="K378" i="20"/>
</calcChain>
</file>

<file path=xl/sharedStrings.xml><?xml version="1.0" encoding="utf-8"?>
<sst xmlns="http://schemas.openxmlformats.org/spreadsheetml/2006/main" count="11314" uniqueCount="4945">
  <si>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</si>
  <si>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</si>
  <si>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</si>
  <si>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</si>
  <si>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</si>
  <si>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</si>
  <si>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</si>
  <si>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</si>
  <si>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</si>
  <si>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</si>
  <si>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</si>
  <si>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</si>
  <si>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</si>
  <si>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</si>
  <si>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</si>
  <si>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</si>
  <si>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</si>
  <si>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</si>
  <si>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</si>
  <si>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</si>
  <si>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</si>
  <si>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</si>
  <si>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</si>
  <si>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</si>
  <si>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</si>
  <si>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</si>
  <si>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</si>
  <si>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</si>
  <si>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</si>
  <si>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</si>
  <si>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</si>
  <si>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</si>
  <si>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</si>
  <si>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</si>
  <si>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</si>
  <si>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</si>
  <si>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</si>
  <si>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</si>
  <si>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</si>
  <si>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</si>
  <si>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</si>
  <si>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</si>
  <si>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</si>
  <si>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</si>
  <si>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</si>
  <si>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</si>
  <si>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</si>
  <si>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</si>
  <si>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</si>
  <si>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</si>
  <si>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</si>
  <si>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</si>
  <si>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</si>
  <si>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</si>
  <si>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</si>
  <si>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</si>
  <si>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</si>
  <si>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</si>
  <si>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</si>
  <si>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</si>
  <si>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</si>
  <si>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</si>
  <si>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</si>
  <si>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</si>
  <si>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</si>
  <si>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</si>
  <si>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</si>
  <si>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</si>
  <si>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</si>
  <si>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</si>
  <si>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</si>
  <si>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</si>
  <si>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</si>
  <si>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</si>
  <si>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</si>
  <si>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</si>
  <si>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</si>
  <si>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</si>
  <si>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</si>
  <si>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</si>
  <si>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</si>
  <si>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</si>
  <si>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</si>
  <si>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</si>
  <si>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</si>
  <si>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</si>
  <si>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</si>
  <si>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</si>
  <si>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</si>
  <si>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</si>
  <si>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</si>
  <si>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</si>
  <si>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</si>
  <si>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</si>
  <si>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</si>
  <si>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</si>
  <si>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</si>
  <si>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</si>
  <si>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</si>
  <si>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</si>
  <si>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</si>
  <si>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</si>
  <si>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</si>
  <si>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</si>
  <si>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</si>
  <si>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</si>
  <si>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</si>
  <si>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</si>
  <si>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</si>
  <si>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</si>
  <si>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</si>
  <si>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</si>
  <si>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</si>
  <si>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</si>
  <si>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</si>
  <si>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</si>
  <si>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</si>
  <si>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</si>
  <si>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</si>
  <si>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</si>
  <si>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</si>
  <si>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</si>
  <si>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</si>
  <si>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</si>
  <si>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</si>
  <si>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</si>
  <si>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</si>
  <si>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</si>
  <si>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</si>
  <si>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</si>
  <si>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</si>
  <si>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</si>
  <si>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</si>
  <si>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</si>
  <si>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</si>
  <si>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</si>
  <si>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</si>
  <si>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</si>
  <si>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</si>
  <si>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</si>
  <si>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</si>
  <si>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</si>
  <si>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</si>
  <si>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</si>
  <si>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</si>
  <si>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</si>
  <si>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</si>
  <si>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</si>
  <si>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</si>
  <si>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</si>
  <si>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</si>
  <si>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</si>
  <si>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</si>
  <si>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</si>
  <si>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</si>
  <si>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</si>
  <si>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</si>
  <si>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</si>
  <si>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</si>
  <si>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</si>
  <si>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</si>
  <si>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</si>
  <si>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</si>
  <si>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</si>
  <si>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</si>
  <si>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</si>
  <si>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</si>
  <si>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</si>
  <si>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</si>
  <si>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</si>
  <si>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</si>
  <si>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</si>
  <si>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</si>
  <si>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</si>
  <si>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</si>
  <si>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</si>
  <si>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</si>
  <si>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</si>
  <si>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</si>
  <si>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</si>
  <si>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</si>
  <si>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</si>
  <si>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</si>
  <si>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</si>
  <si>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</si>
  <si>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</si>
  <si>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</si>
  <si>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</si>
  <si>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</si>
  <si>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</si>
  <si>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</si>
  <si>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</si>
  <si>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</si>
  <si>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</si>
  <si>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</si>
  <si>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</si>
  <si>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</si>
  <si>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</si>
  <si>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</si>
  <si>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</si>
  <si>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</si>
  <si>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</si>
  <si>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</si>
  <si>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</si>
  <si>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</si>
  <si>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</si>
  <si>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</si>
  <si>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</si>
  <si>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</si>
  <si>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</si>
  <si>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</si>
  <si>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</si>
  <si>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</si>
  <si>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</si>
  <si>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</si>
  <si>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</si>
  <si>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</si>
  <si>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</si>
  <si>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</si>
  <si>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</si>
  <si>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</si>
  <si>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</si>
  <si>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</si>
  <si>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</si>
  <si>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</si>
  <si>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</si>
  <si>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</si>
  <si>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</si>
  <si>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</si>
  <si>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</si>
  <si>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</si>
  <si>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</si>
  <si>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</si>
  <si>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</si>
  <si>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</si>
  <si>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</si>
  <si>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</si>
  <si>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</si>
  <si>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</si>
  <si>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</si>
  <si>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</si>
  <si>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</si>
  <si>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</si>
  <si>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</si>
  <si>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</si>
  <si>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</si>
  <si>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</si>
  <si>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</si>
  <si>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</si>
  <si>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</si>
  <si>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</si>
  <si>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</si>
  <si>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</si>
  <si>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</si>
  <si>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</si>
  <si>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</si>
  <si>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</si>
  <si>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</si>
  <si>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</si>
  <si>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</si>
  <si>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</si>
  <si>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</si>
  <si>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</si>
  <si>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</si>
  <si>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</si>
  <si>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</si>
  <si>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</si>
  <si>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</si>
  <si>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</si>
  <si>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</si>
  <si>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</si>
  <si>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</si>
  <si>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</si>
  <si>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</si>
  <si>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</si>
  <si>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</si>
  <si>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</si>
  <si>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</si>
  <si>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</si>
  <si>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</si>
  <si>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</si>
  <si>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</si>
  <si>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</si>
  <si>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</si>
  <si>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</si>
  <si>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</si>
  <si>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</si>
  <si>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</si>
  <si>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</si>
  <si>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</si>
  <si>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</si>
  <si>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</si>
  <si>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</si>
  <si>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</si>
  <si>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</si>
  <si>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</si>
  <si>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</si>
  <si>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</si>
  <si>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</si>
  <si>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</si>
  <si>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</si>
  <si>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</si>
  <si>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</si>
  <si>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</si>
  <si>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</si>
  <si>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</si>
  <si>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</si>
  <si>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</si>
  <si>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</si>
  <si>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</si>
  <si>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</si>
  <si>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</si>
  <si>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</si>
  <si>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</si>
  <si>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</si>
  <si>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</si>
  <si>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</si>
  <si>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</si>
  <si>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</si>
  <si>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</si>
  <si>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</si>
  <si>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</si>
  <si>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</si>
  <si>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</si>
  <si>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</si>
  <si>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</si>
  <si>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</si>
  <si>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</si>
  <si>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</si>
  <si>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</si>
  <si>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</si>
  <si>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</si>
  <si>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</si>
  <si>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</si>
  <si>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</si>
  <si>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</si>
  <si>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</si>
  <si>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</si>
  <si>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</si>
  <si>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</si>
  <si>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</si>
  <si>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</si>
  <si>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</si>
  <si>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</si>
  <si>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</si>
  <si>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</si>
  <si>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</si>
  <si>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</si>
  <si>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</si>
  <si>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</si>
  <si>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</si>
  <si>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</si>
  <si>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</si>
  <si>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</si>
  <si>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</si>
  <si>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</si>
  <si>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</si>
  <si>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</si>
  <si>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</si>
  <si>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</si>
  <si>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</si>
  <si>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</si>
  <si>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</si>
  <si>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</si>
  <si>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</si>
  <si>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</si>
  <si>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</si>
  <si>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</si>
  <si>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</si>
  <si>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</si>
  <si>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</si>
  <si>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</si>
  <si>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</si>
  <si>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</si>
  <si>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</si>
  <si>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</si>
  <si>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</si>
  <si>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</si>
  <si>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</si>
  <si>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</si>
  <si>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</si>
  <si>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</si>
  <si>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</si>
  <si>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</si>
  <si>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</si>
  <si>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</si>
  <si>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</si>
  <si>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</si>
  <si>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</si>
  <si>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</si>
  <si>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</si>
  <si>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</si>
  <si>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</si>
  <si>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</si>
  <si>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</si>
  <si>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</si>
  <si>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</si>
  <si>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</si>
  <si>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</si>
  <si>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</si>
  <si>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</si>
  <si>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</si>
  <si>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</si>
  <si>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</si>
  <si>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</si>
  <si>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</si>
  <si>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</si>
  <si>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</si>
  <si>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</si>
  <si>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</si>
  <si>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</si>
  <si>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</si>
  <si>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</si>
  <si>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</si>
  <si>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</si>
  <si>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</si>
  <si>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</si>
  <si>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</si>
  <si>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</si>
  <si>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</si>
  <si>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</si>
  <si>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</si>
  <si>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</si>
  <si>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</si>
  <si>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</si>
  <si>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</si>
  <si>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</si>
  <si>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</si>
  <si>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</si>
  <si>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</si>
  <si>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</si>
  <si>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</si>
  <si>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</si>
  <si>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</si>
  <si>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</si>
  <si>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</si>
  <si>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</si>
  <si>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</si>
  <si>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</si>
  <si>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</si>
  <si>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</si>
  <si>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</si>
  <si>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</si>
  <si>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</si>
  <si>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</si>
  <si>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</si>
  <si>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</si>
  <si>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</si>
  <si>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</si>
  <si>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</si>
  <si>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</si>
  <si>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</si>
  <si>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</si>
  <si>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</si>
  <si>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</si>
  <si>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</si>
  <si>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</si>
  <si>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</si>
  <si>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</si>
  <si>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</si>
  <si>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</si>
  <si>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</si>
  <si>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</si>
  <si>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</si>
  <si>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</si>
  <si>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</si>
  <si>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</si>
  <si>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</si>
  <si>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</si>
  <si>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</si>
  <si>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</si>
  <si>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</si>
  <si>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</si>
  <si>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</si>
  <si>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</si>
  <si>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</si>
  <si>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</si>
  <si>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</si>
  <si>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</si>
  <si>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</si>
  <si>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</si>
  <si>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</si>
  <si>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</si>
  <si>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</si>
  <si>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</si>
  <si>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</si>
  <si>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</si>
  <si>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</si>
  <si>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</si>
  <si>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</si>
  <si>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</si>
  <si>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</si>
  <si>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</si>
  <si>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</si>
  <si>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</si>
  <si>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</si>
  <si>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</si>
  <si>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</si>
  <si>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</si>
  <si>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</si>
  <si>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</si>
  <si>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</si>
  <si>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</si>
  <si>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</si>
  <si>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</si>
  <si>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</si>
  <si>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</si>
  <si>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</si>
  <si>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</si>
  <si>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</si>
  <si>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</si>
  <si>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</si>
  <si>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</si>
  <si>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</si>
  <si>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</si>
  <si>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</si>
  <si>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</si>
  <si>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</si>
  <si>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</si>
  <si>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</si>
  <si>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</si>
  <si>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</si>
  <si>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</si>
  <si>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</si>
  <si>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</si>
  <si>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</si>
  <si>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</si>
  <si>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</si>
  <si>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</si>
  <si>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</si>
  <si>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</si>
  <si>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</si>
  <si>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</si>
  <si>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</si>
  <si>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</si>
  <si>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</si>
  <si>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</si>
  <si>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</si>
  <si>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</si>
  <si>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</si>
  <si>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</si>
  <si>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</si>
  <si>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</si>
  <si>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</si>
  <si>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</si>
  <si>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</si>
  <si>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</si>
  <si>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</si>
  <si>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</si>
  <si>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</si>
  <si>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</si>
  <si>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</si>
  <si>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</si>
  <si>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</si>
  <si>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</si>
  <si>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</si>
  <si>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</si>
  <si>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</si>
  <si>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</si>
  <si>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</si>
  <si>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</si>
  <si>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</si>
  <si>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</si>
  <si>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</si>
  <si>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</si>
  <si>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</si>
  <si>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</si>
  <si>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</si>
  <si>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</si>
  <si>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</si>
  <si>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</si>
  <si>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</si>
  <si>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</si>
  <si>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</si>
  <si>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</si>
  <si>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</si>
  <si>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</si>
  <si>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</si>
  <si>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</si>
  <si>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</si>
  <si>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</si>
  <si>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</si>
  <si>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</si>
  <si>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</si>
  <si>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</si>
  <si>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</si>
  <si>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</si>
  <si>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</si>
  <si>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</si>
  <si>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</si>
  <si>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</si>
  <si>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</si>
  <si>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</si>
  <si>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</si>
  <si>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</si>
  <si>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</si>
  <si>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</si>
  <si>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</si>
  <si>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</si>
  <si>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</si>
  <si>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</si>
  <si>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</si>
  <si>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</si>
  <si>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</si>
  <si>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</si>
  <si>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</si>
  <si>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</si>
  <si>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</si>
  <si>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</si>
  <si>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</si>
  <si>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</si>
  <si>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</si>
  <si>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</si>
  <si>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</si>
  <si>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</si>
  <si>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</si>
  <si>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</si>
  <si>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</si>
  <si>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</si>
  <si>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</si>
  <si>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</si>
  <si>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</si>
  <si>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</si>
  <si>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</si>
  <si>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</si>
  <si>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</si>
  <si>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</si>
  <si>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</si>
  <si>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</si>
  <si>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</si>
  <si>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</si>
  <si>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</si>
  <si>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</si>
  <si>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</si>
  <si>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</si>
  <si>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</si>
  <si>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</si>
  <si>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</si>
  <si>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</si>
  <si>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</si>
  <si>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</si>
  <si>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</si>
  <si>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</si>
  <si>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</si>
  <si>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</si>
  <si>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</si>
  <si>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</si>
  <si>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</si>
  <si>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</si>
  <si>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</si>
  <si>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</si>
  <si>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</si>
  <si>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</si>
  <si>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</si>
  <si>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</si>
  <si>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</si>
  <si>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</si>
  <si>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</si>
  <si>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</si>
  <si>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</si>
  <si>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</si>
  <si>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</si>
  <si>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</si>
  <si>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</si>
  <si>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</si>
  <si>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</si>
  <si>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</si>
  <si>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</si>
  <si>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</si>
  <si>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</si>
  <si>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</si>
  <si>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</si>
  <si>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</si>
  <si>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</si>
  <si>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</si>
  <si>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</si>
  <si>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</si>
  <si>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</si>
  <si>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</si>
  <si>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</si>
  <si>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</si>
  <si>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</si>
  <si>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</si>
  <si>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</si>
  <si>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</si>
  <si>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</si>
  <si>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</si>
  <si>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</si>
  <si>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</si>
  <si>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</si>
  <si>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</si>
  <si>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</si>
  <si>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</si>
  <si>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</si>
  <si>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</si>
  <si>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</si>
  <si>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</si>
  <si>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</si>
  <si>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</si>
  <si>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</si>
  <si>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</si>
  <si>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</si>
  <si>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</si>
  <si>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</si>
  <si>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</si>
  <si>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</si>
  <si>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</si>
  <si>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</si>
  <si>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</si>
  <si>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</si>
  <si>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</si>
  <si>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</si>
  <si>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</si>
  <si>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</si>
  <si>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</si>
  <si>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</si>
  <si>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</si>
  <si>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</si>
  <si>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</si>
  <si>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</si>
  <si>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</si>
  <si>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</si>
  <si>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</si>
  <si>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</si>
  <si>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</si>
  <si>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</si>
  <si>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</si>
  <si>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</si>
  <si>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</si>
  <si>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</si>
  <si>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</si>
  <si>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</si>
  <si>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</si>
  <si>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</si>
  <si>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</si>
  <si>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</si>
  <si>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</si>
  <si>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</si>
  <si>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</si>
  <si>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</si>
  <si>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</si>
  <si>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</si>
  <si>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</si>
  <si>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</si>
  <si>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</si>
  <si>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</si>
  <si>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</si>
  <si>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</si>
  <si>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</si>
  <si>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</si>
  <si>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</si>
  <si>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</si>
  <si>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</si>
  <si>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</si>
  <si>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</si>
  <si>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</si>
  <si>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</si>
  <si>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</si>
  <si>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</si>
  <si>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</si>
  <si>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</si>
  <si>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</si>
  <si>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</si>
  <si>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</si>
  <si>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</si>
  <si>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</si>
  <si>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</si>
  <si>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</si>
  <si>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</si>
  <si>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</si>
  <si>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</si>
  <si>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</si>
  <si>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</si>
  <si>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</si>
  <si>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</si>
  <si>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</si>
  <si>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</si>
  <si>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</si>
  <si>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</si>
  <si>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</si>
  <si>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</si>
  <si>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</si>
  <si>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</si>
  <si>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</si>
  <si>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</si>
  <si>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</si>
  <si>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</si>
  <si>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</si>
  <si>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</si>
  <si>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</si>
  <si>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</si>
  <si>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</si>
  <si>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</si>
  <si>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</si>
  <si>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</si>
  <si>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</si>
  <si>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</si>
  <si>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</si>
  <si>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</si>
  <si>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</si>
  <si>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</si>
  <si>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</si>
  <si>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</si>
  <si>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</si>
  <si>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</si>
  <si>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</si>
  <si>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</si>
  <si>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</si>
  <si>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</si>
  <si>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</si>
  <si>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</si>
  <si>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</si>
  <si>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</si>
  <si>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</si>
  <si>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</si>
  <si>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</si>
  <si>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</si>
  <si>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</si>
  <si>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</si>
  <si>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</si>
  <si>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</si>
  <si>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</si>
  <si>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</si>
  <si>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</si>
  <si>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</si>
  <si>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</si>
  <si>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</si>
  <si>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</si>
  <si>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</si>
  <si>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</si>
  <si>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</si>
  <si>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</si>
  <si>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</si>
  <si>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</si>
  <si>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</si>
  <si>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</si>
  <si>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</si>
  <si>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</si>
  <si>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</si>
  <si>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</si>
  <si>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</si>
  <si>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</si>
  <si>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</si>
  <si>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</si>
  <si>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</si>
  <si>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</si>
  <si>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</si>
  <si>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</si>
  <si>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</si>
  <si>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</si>
  <si>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</si>
  <si>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</si>
  <si>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</si>
  <si>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</si>
  <si>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</si>
  <si>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</si>
  <si>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</si>
  <si>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</si>
  <si>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</si>
  <si>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</si>
  <si>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</si>
  <si>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</si>
  <si>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</si>
  <si>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</si>
  <si>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</si>
  <si>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</si>
  <si>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</si>
  <si>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</si>
  <si>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</si>
  <si>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</si>
  <si>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</si>
  <si>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</si>
  <si>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</si>
  <si>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</si>
  <si>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</si>
  <si>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</si>
  <si>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</si>
  <si>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</si>
  <si>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</si>
  <si>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</si>
  <si>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</si>
  <si>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</si>
  <si>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</si>
  <si>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</si>
  <si>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</si>
  <si>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</si>
  <si>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</si>
  <si>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</si>
  <si>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</si>
  <si>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</si>
  <si>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</si>
  <si>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</si>
  <si>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</si>
  <si>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</si>
  <si>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</si>
  <si>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</si>
  <si>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</si>
  <si>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</si>
  <si>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</si>
  <si>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</si>
  <si>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</si>
  <si>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</si>
  <si>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</si>
  <si>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</si>
  <si>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</si>
  <si>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</si>
  <si>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</si>
  <si>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</si>
  <si>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</si>
  <si>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</si>
  <si>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</si>
  <si>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</si>
  <si>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</si>
  <si>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</si>
  <si>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</si>
  <si>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</si>
  <si>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</si>
  <si>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</si>
  <si>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</si>
  <si>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</si>
  <si>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</si>
  <si>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</si>
  <si>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</si>
  <si>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</si>
  <si>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</si>
  <si>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</si>
  <si>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</si>
  <si>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</si>
  <si>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</si>
  <si>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</si>
  <si>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</si>
  <si>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</si>
  <si>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</si>
  <si>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</si>
  <si>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</si>
  <si>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</si>
  <si>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</si>
  <si>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</si>
  <si>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</si>
  <si>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</si>
  <si>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</si>
  <si>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</si>
  <si>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</si>
  <si>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</si>
  <si>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</si>
  <si>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</si>
  <si>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</si>
  <si>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</si>
  <si>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</si>
  <si>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</si>
  <si>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</si>
  <si>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</si>
  <si>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</si>
  <si>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</si>
  <si>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</si>
  <si>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</si>
  <si>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</si>
  <si>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</si>
  <si>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</si>
  <si>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</si>
  <si>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</si>
  <si>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</si>
  <si>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</si>
  <si>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</si>
  <si>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</si>
  <si>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</si>
  <si>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</si>
  <si>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</si>
  <si>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</si>
  <si>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</si>
  <si>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</si>
  <si>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</si>
  <si>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</si>
  <si>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</si>
  <si>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</si>
  <si>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</si>
  <si>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</si>
  <si>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</si>
  <si>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</si>
  <si>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</si>
  <si>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</si>
  <si>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</si>
  <si>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</si>
  <si>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</si>
  <si>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</si>
  <si>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</si>
  <si>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</si>
  <si>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</si>
  <si>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</si>
  <si>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</si>
  <si>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</si>
  <si>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</si>
  <si>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</si>
  <si>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</si>
  <si>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</si>
  <si>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</si>
  <si>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</si>
  <si>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</si>
  <si>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</si>
  <si>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</si>
  <si>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</si>
  <si>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</si>
  <si>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</si>
  <si>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</si>
  <si>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</si>
  <si>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</si>
  <si>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</si>
  <si>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</si>
  <si>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</si>
  <si>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</si>
  <si>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</si>
  <si>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</si>
  <si>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</si>
  <si>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</si>
  <si>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</si>
  <si>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</si>
  <si>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</si>
  <si>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</si>
  <si>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</si>
  <si>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</si>
  <si>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</si>
  <si>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</si>
  <si>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</si>
  <si>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</si>
  <si>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</si>
  <si>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</si>
  <si>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</si>
  <si>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</si>
  <si>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</si>
  <si>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</si>
  <si>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</si>
  <si>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</si>
  <si>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</si>
  <si>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</si>
  <si>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</si>
  <si>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</si>
  <si>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</si>
  <si>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</si>
  <si>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</si>
  <si>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</si>
  <si>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</si>
  <si>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</si>
  <si>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</si>
  <si>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</si>
  <si>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</si>
  <si>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</si>
  <si>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</si>
  <si>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</si>
  <si>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</si>
  <si>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</si>
  <si>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</si>
  <si>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</si>
  <si>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</si>
  <si>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</si>
  <si>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</si>
  <si>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</si>
  <si>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</si>
  <si>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</si>
  <si>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</si>
  <si>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</si>
  <si>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</si>
  <si>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</si>
  <si>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</si>
  <si>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</si>
  <si>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</si>
  <si>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</si>
  <si>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</si>
  <si>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</si>
  <si>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</si>
  <si>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</si>
  <si>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</si>
  <si>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</si>
  <si>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</si>
  <si>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</si>
  <si>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</si>
  <si>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</si>
  <si>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</si>
  <si>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</si>
  <si>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</si>
  <si>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</si>
  <si>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</si>
  <si>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</si>
  <si>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</si>
  <si>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</si>
  <si>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</si>
  <si>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</si>
  <si>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</si>
  <si>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</si>
  <si>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</si>
  <si>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</si>
  <si>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</si>
  <si>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</si>
  <si>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</si>
  <si>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</si>
  <si>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</si>
  <si>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</si>
  <si>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</si>
  <si>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</si>
  <si>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</si>
  <si>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</si>
  <si>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</si>
  <si>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</si>
  <si>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</si>
  <si>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</si>
  <si>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</si>
  <si>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</si>
  <si>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</si>
  <si>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</si>
  <si>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</si>
  <si>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</si>
  <si>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</si>
  <si>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</si>
  <si>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</si>
  <si>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</si>
  <si>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</si>
  <si>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</si>
  <si>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</si>
  <si>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</si>
  <si>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</si>
  <si>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</si>
  <si>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</si>
  <si>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</si>
  <si>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</si>
  <si>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</si>
  <si>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</si>
  <si>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</si>
  <si>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</si>
  <si>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</si>
  <si>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</si>
  <si>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</si>
  <si>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</si>
  <si>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</si>
  <si>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</si>
  <si>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</si>
  <si>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</si>
  <si>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</si>
  <si>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</si>
  <si>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</si>
  <si>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</si>
  <si>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</si>
  <si>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</si>
  <si>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</si>
  <si>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</si>
  <si>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</si>
  <si>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</si>
  <si>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</si>
  <si>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</si>
  <si>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</si>
  <si>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</si>
  <si>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</si>
  <si>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</si>
  <si>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</si>
  <si>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</si>
  <si>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</si>
  <si>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</si>
  <si>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</si>
  <si>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</si>
  <si>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</si>
  <si>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</si>
  <si>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</si>
  <si>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</si>
  <si>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</si>
  <si>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</si>
  <si>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</si>
  <si>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</si>
  <si>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</si>
  <si>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</si>
  <si>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</si>
  <si>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</si>
  <si>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</si>
  <si>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</si>
  <si>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</si>
  <si>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</si>
  <si>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</si>
  <si>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</si>
  <si>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</si>
  <si>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</si>
  <si>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</si>
  <si>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</si>
  <si>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</si>
  <si>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</si>
  <si>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</si>
  <si>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</si>
  <si>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</si>
  <si>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</si>
  <si>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</si>
  <si>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</si>
  <si>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</si>
  <si>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</si>
  <si>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</si>
  <si>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</si>
  <si>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</si>
  <si>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</si>
  <si>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</si>
  <si>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</si>
  <si>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</si>
  <si>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</si>
  <si>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</si>
  <si>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</si>
  <si>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</si>
  <si>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</si>
  <si>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</si>
  <si>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</si>
  <si>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</si>
  <si>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</si>
  <si>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</si>
  <si>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</si>
  <si>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</si>
  <si>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</si>
  <si>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</si>
  <si>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</si>
  <si>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</si>
  <si>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</si>
  <si>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</si>
  <si>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</si>
  <si>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</si>
  <si>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</si>
  <si>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</si>
  <si>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</si>
  <si>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</si>
  <si>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</si>
  <si>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</si>
  <si>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</si>
  <si>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</si>
  <si>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</si>
  <si>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</si>
  <si>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</si>
  <si>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</si>
  <si>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</si>
  <si>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</si>
  <si>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</si>
  <si>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</si>
  <si>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</si>
  <si>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</si>
  <si>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</si>
  <si>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</si>
  <si>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</si>
  <si>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</si>
  <si>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</si>
  <si>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</si>
  <si>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</si>
  <si>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</si>
  <si>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</si>
  <si>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</si>
  <si>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</si>
  <si>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</si>
  <si>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</si>
  <si>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</si>
  <si>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</si>
  <si>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</si>
  <si>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</si>
  <si>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</si>
  <si>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</si>
  <si>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</si>
  <si>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</si>
  <si>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</si>
  <si>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</si>
  <si>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</si>
  <si>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</si>
  <si>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</si>
  <si>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</si>
  <si>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</si>
  <si>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</si>
  <si>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</si>
  <si>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</si>
  <si>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</si>
  <si>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</si>
  <si>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</si>
  <si>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</si>
  <si>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</si>
  <si>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</si>
  <si>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</si>
  <si>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</si>
  <si>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</si>
  <si>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</si>
  <si>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</si>
  <si>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</si>
  <si>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</si>
  <si>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</si>
  <si>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</si>
  <si>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</si>
  <si>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</si>
  <si>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</si>
  <si>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</si>
  <si>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</si>
  <si>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</si>
  <si>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</si>
  <si>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</si>
  <si>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</si>
  <si>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</si>
  <si>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</si>
  <si>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</si>
  <si>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</si>
  <si>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</si>
  <si>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</si>
  <si>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</si>
  <si>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</si>
  <si>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</si>
  <si>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</si>
  <si>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</si>
  <si>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</si>
  <si>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</si>
  <si>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</si>
  <si>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</si>
  <si>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</si>
  <si>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</si>
  <si>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</si>
  <si>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</si>
  <si>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</si>
  <si>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</si>
  <si>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</si>
  <si>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</si>
  <si>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</si>
  <si>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</si>
  <si>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</si>
  <si>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</si>
  <si>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</si>
  <si>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</si>
  <si>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</si>
  <si>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</si>
  <si>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</si>
  <si>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</si>
  <si>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</si>
  <si>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</si>
  <si>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</si>
  <si>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</si>
  <si>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</si>
  <si>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</si>
  <si>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</si>
  <si>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</si>
  <si>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</si>
  <si>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</si>
  <si>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</si>
  <si>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</si>
  <si>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</si>
  <si>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</si>
  <si>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</si>
  <si>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</si>
  <si>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</si>
  <si>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</si>
  <si>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</si>
  <si>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</si>
  <si>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</si>
  <si>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</si>
  <si>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</si>
  <si>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</si>
  <si>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</si>
  <si>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</si>
  <si>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</si>
  <si>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</si>
  <si>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</si>
  <si>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</si>
  <si>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</si>
  <si>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</si>
  <si>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</si>
  <si>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</si>
  <si>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</si>
  <si>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</si>
  <si>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</si>
  <si>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</si>
  <si>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</si>
  <si>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</si>
  <si>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</si>
  <si>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</si>
  <si>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</si>
  <si>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</si>
  <si>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</si>
  <si>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</si>
  <si>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</si>
  <si>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</si>
  <si>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</si>
  <si>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</si>
  <si>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</si>
  <si>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</si>
  <si>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</si>
  <si>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</si>
  <si>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</si>
  <si>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</si>
  <si>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</si>
  <si>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</si>
  <si>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</si>
  <si>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</si>
  <si>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</si>
  <si>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</si>
  <si>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</si>
  <si>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</si>
  <si>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</si>
  <si>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</si>
  <si>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</si>
  <si>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</si>
  <si>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</si>
  <si>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</si>
  <si>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</si>
  <si>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</si>
  <si>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</si>
  <si>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</si>
  <si>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</si>
  <si>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</si>
  <si>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</si>
  <si>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</si>
  <si>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</si>
  <si>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</si>
  <si>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</si>
  <si>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</si>
  <si>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</si>
  <si>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</si>
  <si>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</si>
  <si>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</si>
  <si>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</si>
  <si>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</si>
  <si>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</si>
  <si>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</si>
  <si>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</si>
  <si>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</si>
  <si>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</si>
  <si>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</si>
  <si>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</si>
  <si>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</si>
  <si>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</si>
  <si>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</si>
  <si>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</si>
  <si>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</si>
  <si>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</si>
  <si>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</si>
  <si>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</si>
  <si>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</si>
  <si>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</si>
  <si>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</si>
  <si>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</si>
  <si>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</si>
  <si>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</si>
  <si>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</si>
  <si>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</si>
  <si>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</si>
  <si>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</si>
  <si>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</si>
  <si>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</si>
  <si>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</si>
  <si>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</si>
  <si>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</si>
  <si>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</si>
  <si>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</si>
  <si>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</si>
  <si>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</si>
  <si>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</si>
  <si>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</si>
  <si>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</si>
  <si>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</si>
  <si>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</si>
  <si>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</si>
  <si>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</si>
  <si>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</si>
  <si>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</si>
  <si>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</si>
  <si>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</si>
  <si>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</si>
  <si>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</si>
  <si>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</si>
  <si>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</si>
  <si>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</si>
  <si>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</si>
  <si>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</si>
  <si>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</si>
  <si>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</si>
  <si>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</si>
  <si>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</si>
  <si>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</si>
  <si>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</si>
  <si>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</si>
  <si>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</si>
  <si>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</si>
  <si>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</si>
  <si>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</si>
  <si>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</si>
  <si>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</si>
  <si>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</si>
  <si>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</si>
  <si>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</si>
  <si>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</si>
  <si>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</si>
  <si>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</si>
  <si>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</si>
  <si>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</si>
  <si>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</si>
  <si>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</si>
  <si>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</si>
  <si>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</si>
  <si>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</si>
  <si>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</si>
  <si>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</si>
  <si>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</si>
  <si>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</si>
  <si>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</si>
  <si>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</si>
  <si>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</si>
  <si>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</si>
  <si>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</si>
  <si>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</si>
  <si>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</si>
  <si>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</si>
  <si>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</si>
  <si>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</si>
  <si>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</si>
  <si>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</si>
  <si>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</si>
  <si>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</si>
  <si>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</si>
  <si>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</si>
  <si>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</si>
  <si>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</si>
  <si>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</si>
  <si>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</si>
  <si>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</si>
  <si>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</si>
  <si>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</si>
  <si>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</si>
  <si>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</si>
  <si>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</si>
  <si>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</si>
  <si>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</si>
  <si>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</si>
  <si>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</si>
  <si>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</si>
  <si>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</si>
  <si>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</si>
  <si>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</si>
  <si>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</si>
  <si>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</si>
  <si>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</si>
  <si>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</si>
  <si>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</si>
  <si>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</si>
  <si>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</si>
  <si>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</si>
  <si>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</si>
  <si>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</si>
  <si>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</si>
  <si>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</si>
  <si>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</si>
  <si>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</si>
  <si>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</si>
  <si>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</si>
  <si>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</si>
  <si>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</si>
  <si>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</si>
  <si>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</si>
  <si>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</si>
  <si>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</si>
  <si>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</si>
  <si>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</si>
  <si>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</si>
  <si>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</si>
  <si>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</si>
  <si>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</si>
  <si>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</si>
  <si>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</si>
  <si>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</si>
  <si>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</si>
  <si>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</si>
  <si>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</si>
  <si>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</si>
  <si>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</si>
  <si>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</si>
  <si>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</si>
  <si>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</si>
  <si>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</si>
  <si>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</si>
  <si>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</si>
  <si>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</si>
  <si>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</si>
  <si>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</si>
  <si>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</si>
  <si>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</si>
  <si>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</si>
  <si>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</si>
  <si>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</si>
  <si>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</si>
  <si>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</si>
  <si>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</si>
  <si>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</si>
  <si>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</si>
  <si>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</si>
  <si>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</si>
  <si>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</si>
  <si>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</si>
  <si>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</si>
  <si>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</si>
  <si>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</si>
  <si>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</si>
  <si>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</si>
  <si>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</si>
  <si>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</si>
  <si>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</si>
  <si>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</si>
  <si>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</si>
  <si>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</si>
  <si>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</si>
  <si>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</si>
  <si>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</si>
  <si>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</si>
  <si>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</si>
  <si>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</si>
  <si>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</si>
  <si>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</si>
  <si>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</si>
  <si>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</si>
  <si>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</si>
  <si>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</si>
  <si>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</si>
  <si>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</si>
  <si>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</si>
  <si>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</si>
  <si>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</si>
  <si>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</si>
  <si>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</si>
  <si>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</si>
  <si>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</si>
  <si>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</si>
  <si>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</si>
  <si>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</si>
  <si>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</si>
  <si>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</si>
  <si>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</si>
  <si>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</si>
  <si>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</si>
  <si>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</si>
  <si>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</si>
  <si>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</si>
  <si>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</si>
  <si>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</si>
  <si>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</si>
  <si>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</si>
  <si>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</si>
  <si>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</si>
  <si>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</si>
  <si>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</si>
  <si>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</si>
  <si>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</si>
  <si>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</si>
  <si>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</si>
  <si>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</si>
  <si>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</si>
  <si>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</si>
  <si>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</si>
  <si>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</si>
  <si>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</si>
  <si>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</si>
  <si>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</si>
  <si>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</si>
  <si>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</si>
  <si>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</si>
  <si>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</si>
  <si>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</si>
  <si>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</si>
  <si>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</si>
  <si>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</si>
  <si>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</si>
  <si>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</si>
  <si>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</si>
  <si>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</si>
  <si>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</si>
  <si>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</si>
  <si>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</si>
  <si>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</si>
  <si>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</si>
  <si>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</si>
  <si>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</si>
  <si>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</si>
  <si>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</si>
  <si>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</si>
  <si>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</si>
  <si>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</si>
  <si>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</si>
  <si>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</si>
  <si>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</si>
  <si>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</si>
  <si>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</si>
  <si>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</si>
  <si>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</si>
  <si>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</si>
  <si>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</si>
  <si>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</si>
  <si>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</si>
  <si>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</si>
  <si>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</si>
  <si>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</si>
  <si>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</si>
  <si>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</si>
  <si>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</si>
  <si>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</si>
  <si>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</si>
  <si>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</si>
  <si>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</si>
  <si>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</si>
  <si>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</si>
  <si>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</si>
  <si>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</si>
  <si>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</si>
  <si>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</si>
  <si>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</si>
  <si>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</si>
  <si>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</si>
  <si>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</si>
  <si>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</si>
  <si>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</si>
  <si>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</si>
  <si>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</si>
  <si>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</si>
  <si>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</si>
  <si>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</si>
  <si>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</si>
  <si>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</si>
  <si>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</si>
  <si>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</si>
  <si>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</si>
  <si>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</si>
  <si>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</si>
  <si>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</si>
  <si>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</si>
  <si>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</si>
  <si>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</si>
  <si>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</si>
  <si>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</si>
  <si>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</si>
  <si>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</si>
  <si>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</si>
  <si>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</si>
  <si>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</si>
  <si>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</si>
  <si>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</si>
  <si>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</si>
  <si>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</si>
  <si>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</si>
  <si>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</si>
  <si>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</si>
  <si>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</si>
  <si>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</si>
  <si>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</si>
  <si>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</si>
  <si>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</si>
  <si>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</si>
  <si>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</si>
  <si>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</si>
  <si>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</si>
  <si>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</si>
  <si>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</si>
  <si>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</si>
  <si>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</si>
  <si>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</si>
  <si>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</si>
  <si>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</si>
  <si>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</si>
  <si>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</si>
  <si>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</si>
  <si>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</si>
  <si>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</si>
  <si>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</si>
  <si>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</si>
  <si>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</si>
  <si>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</si>
  <si>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</si>
  <si>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</si>
  <si>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</si>
  <si>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</si>
  <si>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</si>
  <si>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</si>
  <si>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</si>
  <si>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</si>
  <si>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</si>
  <si>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</si>
  <si>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</si>
  <si>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</si>
  <si>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</si>
  <si>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</si>
  <si>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</si>
  <si>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</si>
  <si>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</si>
  <si>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</si>
  <si>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</si>
  <si>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</si>
  <si>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</si>
  <si>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</si>
  <si>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</si>
  <si>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</si>
  <si>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</si>
  <si>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</si>
  <si>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</si>
  <si>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</si>
  <si>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</si>
  <si>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</si>
  <si>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</si>
  <si>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</si>
  <si>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</si>
  <si>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</si>
  <si>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</si>
  <si>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</si>
  <si>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</si>
  <si>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</si>
  <si>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</si>
  <si>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</si>
  <si>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</si>
  <si>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</si>
  <si>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</si>
  <si>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</si>
  <si>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</si>
  <si>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</si>
  <si>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</si>
  <si>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</si>
  <si>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</si>
  <si>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</si>
  <si>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</si>
  <si>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</si>
  <si>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</si>
  <si>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</si>
  <si>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</si>
  <si>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</si>
  <si>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</si>
  <si>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</si>
  <si>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</si>
  <si>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</si>
  <si>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</si>
  <si>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</si>
  <si>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</si>
  <si>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</si>
  <si>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</si>
  <si>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</si>
  <si>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</si>
  <si>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</si>
  <si>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</si>
  <si>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</si>
  <si>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</si>
  <si>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</si>
  <si>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</si>
  <si>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</si>
  <si>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</si>
  <si>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</si>
  <si>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</si>
  <si>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</si>
  <si>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</si>
  <si>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</si>
  <si>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</si>
  <si>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</si>
  <si>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</si>
  <si>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</si>
  <si>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</si>
  <si>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</si>
  <si>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</si>
  <si>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</si>
  <si>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</si>
  <si>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</si>
  <si>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</si>
  <si>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</si>
  <si>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</si>
  <si>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</si>
  <si>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</si>
  <si>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</si>
  <si>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</si>
  <si>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</si>
  <si>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</si>
  <si>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</si>
  <si>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</si>
  <si>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</si>
  <si>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</si>
  <si>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</si>
  <si>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</si>
  <si>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</si>
  <si>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</si>
  <si>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</si>
  <si>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</si>
  <si>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</si>
  <si>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</si>
  <si>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</si>
  <si>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</si>
  <si>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</si>
  <si>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</si>
  <si>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</si>
  <si>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</si>
  <si>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</si>
  <si>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</si>
  <si>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</si>
  <si>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</si>
  <si>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</si>
  <si>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</si>
  <si>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</si>
  <si>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</si>
  <si>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</si>
  <si>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</si>
  <si>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</si>
  <si>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</si>
  <si>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</si>
  <si>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</si>
  <si>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</si>
  <si>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</si>
  <si>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</si>
  <si>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</si>
  <si>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</si>
  <si>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</si>
  <si>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</si>
  <si>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</si>
  <si>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</si>
  <si>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</si>
  <si>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</si>
  <si>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</si>
  <si>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</si>
  <si>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</si>
  <si>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</si>
  <si>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</si>
  <si>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</si>
  <si>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</si>
  <si>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</si>
  <si>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</si>
  <si>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</si>
  <si>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</si>
  <si>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</si>
  <si>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</si>
  <si>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</si>
  <si>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</si>
  <si>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</si>
  <si>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</si>
  <si>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</si>
  <si>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</si>
  <si>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</si>
  <si>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</si>
  <si>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</si>
  <si>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</si>
  <si>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</si>
  <si>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</si>
  <si>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</si>
  <si>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</si>
  <si>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</si>
  <si>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</si>
  <si>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</si>
  <si>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</si>
  <si>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</si>
  <si>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</si>
  <si>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</si>
  <si>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</si>
  <si>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</si>
  <si>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</si>
  <si>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</si>
  <si>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</si>
  <si>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</si>
  <si>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</si>
  <si>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</si>
  <si>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</si>
  <si>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</si>
  <si>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</si>
  <si>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</si>
  <si>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</si>
  <si>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</si>
  <si>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</si>
  <si>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</si>
  <si>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</si>
  <si>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</si>
  <si>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</si>
  <si>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</si>
  <si>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</si>
  <si>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</si>
  <si>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</si>
  <si>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</si>
  <si>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</si>
  <si>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</si>
  <si>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</si>
  <si>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</si>
  <si>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</si>
  <si>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</si>
  <si>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</si>
  <si>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</si>
  <si>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</si>
  <si>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</si>
  <si>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</si>
  <si>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</si>
  <si>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</si>
  <si>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</si>
  <si>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</si>
  <si>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</si>
  <si>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</si>
  <si>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</si>
  <si>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</si>
  <si>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</si>
  <si>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</si>
  <si>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</si>
  <si>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</si>
  <si>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</si>
  <si>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</si>
  <si>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</si>
  <si>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</si>
  <si>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</si>
  <si>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</si>
  <si>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</si>
  <si>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</si>
  <si>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</si>
  <si>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</si>
  <si>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</si>
  <si>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</si>
  <si>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</si>
  <si>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</si>
  <si>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</si>
  <si>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</si>
  <si>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</si>
  <si>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</si>
  <si>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</si>
  <si>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</si>
  <si>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</si>
  <si>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</si>
  <si>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</si>
  <si>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</si>
  <si>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</si>
  <si>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</si>
  <si>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</si>
  <si>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</si>
  <si>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</si>
  <si>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</si>
  <si>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</si>
  <si>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</si>
  <si>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</si>
  <si>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</si>
  <si>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</si>
  <si>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</si>
  <si>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</si>
  <si>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</si>
  <si>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</si>
  <si>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</si>
  <si>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</si>
  <si>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</si>
  <si>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</si>
  <si>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</si>
  <si>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</si>
  <si>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</si>
  <si>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</si>
  <si>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</si>
  <si>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</si>
  <si>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</si>
  <si>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</si>
  <si>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</si>
  <si>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</si>
  <si>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</si>
  <si>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</si>
  <si>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</si>
  <si>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</si>
  <si>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</si>
  <si>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</si>
  <si>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</si>
  <si>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</si>
  <si>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</si>
  <si>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</si>
  <si>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</si>
  <si>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</si>
  <si>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</si>
  <si>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</si>
  <si>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</si>
  <si>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</si>
  <si>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</si>
  <si>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</si>
  <si>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</si>
  <si>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</si>
  <si>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</si>
  <si>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</si>
  <si>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</si>
  <si>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</si>
  <si>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</si>
  <si>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</si>
  <si>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</si>
  <si>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</si>
  <si>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</si>
  <si>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</si>
  <si>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</si>
  <si>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</si>
  <si>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</si>
  <si>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</si>
  <si>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</si>
  <si>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</si>
  <si>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</si>
  <si>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</si>
  <si>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</si>
  <si>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</si>
  <si>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</si>
  <si>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</si>
  <si>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</si>
  <si>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</si>
  <si>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</si>
  <si>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</si>
  <si>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</si>
  <si>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</si>
  <si>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</si>
  <si>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</si>
  <si>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</si>
  <si>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</si>
  <si>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</si>
  <si>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</si>
  <si>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</si>
  <si>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</si>
  <si>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</si>
  <si>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</si>
  <si>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</si>
  <si>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</si>
  <si>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</si>
  <si>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</si>
  <si>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</si>
  <si>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</si>
  <si>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</si>
  <si>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</si>
  <si>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</si>
  <si>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</si>
  <si>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</si>
  <si>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</si>
  <si>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</si>
  <si>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</si>
  <si>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</si>
  <si>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</si>
  <si>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</si>
  <si>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</si>
  <si>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</si>
  <si>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</si>
  <si>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</si>
  <si>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</si>
  <si>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</si>
  <si>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</si>
  <si>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</si>
  <si>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</si>
  <si>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</si>
  <si>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</si>
  <si>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</si>
  <si>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</si>
  <si>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</si>
  <si>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</si>
  <si>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</si>
  <si>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</si>
  <si>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</si>
  <si>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</si>
  <si>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</si>
  <si>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</si>
  <si>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</si>
  <si>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</si>
  <si>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</si>
  <si>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</si>
  <si>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</si>
  <si>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</si>
  <si>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</si>
  <si>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</si>
  <si>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</si>
  <si>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</si>
  <si>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</si>
  <si>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</si>
  <si>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</si>
  <si>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</si>
  <si>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</si>
  <si>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</si>
  <si>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</si>
  <si>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</si>
  <si>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</si>
  <si>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</si>
  <si>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</si>
  <si>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</si>
  <si>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</si>
  <si>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</si>
  <si>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</si>
  <si>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</si>
  <si>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</si>
  <si>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</si>
  <si>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</si>
  <si>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</si>
  <si>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</si>
  <si>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</si>
  <si>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</si>
  <si>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</si>
  <si>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</si>
  <si>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</si>
  <si>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</si>
  <si>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</si>
  <si>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</si>
  <si>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</si>
  <si>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</si>
  <si>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</si>
  <si>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</si>
  <si>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</si>
  <si>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</si>
  <si>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</si>
  <si>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</si>
  <si>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</si>
  <si>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</si>
  <si>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</si>
  <si>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</si>
  <si>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</si>
  <si>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</si>
  <si>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</si>
  <si>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</si>
  <si>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</si>
  <si>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</si>
  <si>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</si>
  <si>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</si>
  <si>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</si>
  <si>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</si>
  <si>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</si>
  <si>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</si>
  <si>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</si>
  <si>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</si>
  <si>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</si>
  <si>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</si>
  <si>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</si>
  <si>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</si>
  <si>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</si>
  <si>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</si>
  <si>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</si>
  <si>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</si>
  <si>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</si>
  <si>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</si>
  <si>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</si>
  <si>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</si>
  <si>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</si>
  <si>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</si>
  <si>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</si>
  <si>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</si>
  <si>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</si>
  <si>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</si>
  <si>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</si>
  <si>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</si>
  <si>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</si>
  <si>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</si>
  <si>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</si>
  <si>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</si>
  <si>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</si>
  <si>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</si>
  <si>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</si>
  <si>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</si>
  <si>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</si>
  <si>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</si>
  <si>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</si>
  <si>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</si>
  <si>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</si>
  <si>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</si>
  <si>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</si>
  <si>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</si>
  <si>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</si>
  <si>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</si>
  <si>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</si>
  <si>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</si>
  <si>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</si>
  <si>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</si>
  <si>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</si>
  <si>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</si>
  <si>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</si>
  <si>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</si>
  <si>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</si>
  <si>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</si>
  <si>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</si>
  <si>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</si>
  <si>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</si>
  <si>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</si>
  <si>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</si>
  <si>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</si>
  <si>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</si>
  <si>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</si>
  <si>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</si>
  <si>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</si>
  <si>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</si>
  <si>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</si>
  <si>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</si>
  <si>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</si>
  <si>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</si>
  <si>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</si>
  <si>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</si>
  <si>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</si>
  <si>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</si>
  <si>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</si>
  <si>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</si>
  <si>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</si>
  <si>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</si>
  <si>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</si>
  <si>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</si>
  <si>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</si>
  <si>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</si>
  <si>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</si>
  <si>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</si>
  <si>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</si>
  <si>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</si>
  <si>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</si>
  <si>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</si>
  <si>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</si>
  <si>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</si>
  <si>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</si>
  <si>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</si>
  <si>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</si>
  <si>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</si>
  <si>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</si>
  <si>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</si>
  <si>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</si>
  <si>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</si>
  <si>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</si>
  <si>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</si>
  <si>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</si>
  <si>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</si>
  <si>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</si>
  <si>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</si>
  <si>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</si>
  <si>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</si>
  <si>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</si>
  <si>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</si>
  <si>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</si>
  <si>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</si>
  <si>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</si>
  <si>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</si>
  <si>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</si>
  <si>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</si>
  <si>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</si>
  <si>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</si>
  <si>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</si>
  <si>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</si>
  <si>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</si>
  <si>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</si>
  <si>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</si>
  <si>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</si>
  <si>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</si>
  <si>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</si>
  <si>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</si>
  <si>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</si>
  <si>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</si>
  <si>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</si>
  <si>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</si>
  <si>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</si>
  <si>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</si>
  <si>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</si>
  <si>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</si>
  <si>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</si>
  <si>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</si>
  <si>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</si>
  <si>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</si>
  <si>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</si>
  <si>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</si>
  <si>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</si>
  <si>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</si>
  <si>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</si>
  <si>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</si>
  <si>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</si>
  <si>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</si>
  <si>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</si>
  <si>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</si>
  <si>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</si>
  <si>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</si>
  <si>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</si>
  <si>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</si>
  <si>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</si>
  <si>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</si>
  <si>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</si>
  <si>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</si>
  <si>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</si>
  <si>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</si>
  <si>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</si>
  <si>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</si>
  <si>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</si>
  <si>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</si>
  <si>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</si>
  <si>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</si>
  <si>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</si>
  <si>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</si>
  <si>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</si>
  <si>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</si>
  <si>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</si>
  <si>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</si>
  <si>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</si>
  <si>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</si>
  <si>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</si>
  <si>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</si>
  <si>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</si>
  <si>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</si>
  <si>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</si>
  <si>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</si>
  <si>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</si>
  <si>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</si>
  <si>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</si>
  <si>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</si>
  <si>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</si>
  <si>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</si>
  <si>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</si>
  <si>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</si>
  <si>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</si>
  <si>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</si>
  <si>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</si>
  <si>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</si>
  <si>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</si>
  <si>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</si>
  <si>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</si>
  <si>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</si>
  <si>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</si>
  <si>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</si>
  <si>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</si>
  <si>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</si>
  <si>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</si>
  <si>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</si>
  <si>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</si>
  <si>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</si>
  <si>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</si>
  <si>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</si>
  <si>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</si>
  <si>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</si>
  <si>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</si>
  <si>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</si>
  <si>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</si>
  <si>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</si>
  <si>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</si>
  <si>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</si>
  <si>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</si>
  <si>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</si>
  <si>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</si>
  <si>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</si>
  <si>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</si>
  <si>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</si>
  <si>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</si>
  <si>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</si>
  <si>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</si>
  <si>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</si>
  <si>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</si>
  <si>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</si>
  <si>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</si>
  <si>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</si>
  <si>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</si>
  <si>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</si>
  <si>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</si>
  <si>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</si>
  <si>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</si>
  <si>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</si>
  <si>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</si>
  <si>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</si>
  <si>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</si>
  <si>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</si>
  <si>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</si>
  <si>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</si>
  <si>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</si>
  <si>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</si>
  <si>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</si>
  <si>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</si>
  <si>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</si>
  <si>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</si>
  <si>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</si>
  <si>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</si>
  <si>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</si>
  <si>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</si>
  <si>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</si>
  <si>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</si>
  <si>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</si>
  <si>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</si>
  <si>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</si>
  <si>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</si>
  <si>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</si>
  <si>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</si>
  <si>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</si>
  <si>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</si>
  <si>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</si>
  <si>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</si>
  <si>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</si>
  <si>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</si>
  <si>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</si>
  <si>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</si>
  <si>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</si>
  <si>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</si>
  <si>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</si>
  <si>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</si>
  <si>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</si>
  <si>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</si>
  <si>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</si>
  <si>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</si>
  <si>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</si>
  <si>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</si>
  <si>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</si>
  <si>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</si>
  <si>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</si>
  <si>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</si>
  <si>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</si>
  <si>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</si>
  <si>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</si>
  <si>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</si>
  <si>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</si>
  <si>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</si>
  <si>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</si>
  <si>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</si>
  <si>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</si>
  <si>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</si>
  <si>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</si>
  <si>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</si>
  <si>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</si>
  <si>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</si>
  <si>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</si>
  <si>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</si>
  <si>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</si>
  <si>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</si>
  <si>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</si>
  <si>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</si>
  <si>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</si>
  <si>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</si>
  <si>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</si>
  <si>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</si>
  <si>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</si>
  <si>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</si>
  <si>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</si>
  <si>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</si>
  <si>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</si>
  <si>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</si>
  <si>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</si>
  <si>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</si>
  <si>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</si>
  <si>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</si>
  <si>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</si>
  <si>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</si>
  <si>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</si>
  <si>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</si>
  <si>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</si>
  <si>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</si>
  <si>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</si>
  <si>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</si>
  <si>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</si>
  <si>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</si>
  <si>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</si>
  <si>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</si>
  <si>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</si>
  <si>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</si>
  <si>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</si>
  <si>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</si>
  <si>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</si>
  <si>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</si>
  <si>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</si>
  <si>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</si>
  <si>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</si>
  <si>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</si>
  <si>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</si>
  <si>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</si>
  <si>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</si>
  <si>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</si>
  <si>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</si>
  <si>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</si>
  <si>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</si>
  <si>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</si>
  <si>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</si>
  <si>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</si>
  <si>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</si>
  <si>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</si>
  <si>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</si>
  <si>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</si>
  <si>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</si>
  <si>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</si>
  <si>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</si>
  <si>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</si>
  <si>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</si>
  <si>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</si>
  <si>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</si>
  <si>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</si>
  <si>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</si>
  <si>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</si>
  <si>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</si>
  <si>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</si>
  <si>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</si>
  <si>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</si>
  <si>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</si>
  <si>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</si>
  <si>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</si>
  <si>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</si>
  <si>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</si>
  <si>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</si>
  <si>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</si>
  <si>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</si>
  <si>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</si>
  <si>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</si>
  <si>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</si>
  <si>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</si>
  <si>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</si>
  <si>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</si>
  <si>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</si>
  <si>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</si>
  <si>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</si>
  <si>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</si>
  <si>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</si>
  <si>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</si>
  <si>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</si>
  <si>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</si>
  <si>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</si>
  <si>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</si>
  <si>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</si>
  <si>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</si>
  <si>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</si>
  <si>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</si>
  <si>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</si>
  <si>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</si>
  <si>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</si>
  <si>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</si>
  <si>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</si>
  <si>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</si>
  <si>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</si>
  <si>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</si>
  <si>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</si>
  <si>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</si>
  <si>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</si>
  <si>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</si>
  <si>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</si>
  <si>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</si>
  <si>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</si>
  <si>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</si>
  <si>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</si>
  <si>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</si>
  <si>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</si>
  <si>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</si>
  <si>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</si>
  <si>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</si>
  <si>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</si>
  <si>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</si>
  <si>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</si>
  <si>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</si>
  <si>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</si>
  <si>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</si>
  <si>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</si>
  <si>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</si>
  <si>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</si>
  <si>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</si>
  <si>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</si>
  <si>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</si>
  <si>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</si>
  <si>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</si>
  <si>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</si>
  <si>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</si>
  <si>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</si>
  <si>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</si>
  <si>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</si>
  <si>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</si>
  <si>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</si>
  <si>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</si>
  <si>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</si>
  <si>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</si>
  <si>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</si>
  <si>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</si>
  <si>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</si>
  <si>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</si>
  <si>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</si>
  <si>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</si>
  <si>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</si>
  <si>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</si>
  <si>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</si>
  <si>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</si>
  <si>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</si>
  <si>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</si>
  <si>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</si>
  <si>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</si>
  <si>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</si>
  <si>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</si>
  <si>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</si>
  <si>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</si>
  <si>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</si>
  <si>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</si>
  <si>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</si>
  <si>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</si>
  <si>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</si>
  <si>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</si>
  <si>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</si>
  <si>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</si>
  <si>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</si>
  <si>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</si>
  <si>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</si>
  <si>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</si>
  <si>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</si>
  <si>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</si>
  <si>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</si>
  <si>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</si>
  <si>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</si>
  <si>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</si>
  <si>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</si>
  <si>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</si>
  <si>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</si>
  <si>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</si>
  <si>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</si>
  <si>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</si>
  <si>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</si>
  <si>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</si>
  <si>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</si>
  <si>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</si>
  <si>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</si>
  <si>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</si>
  <si>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</si>
  <si>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</si>
  <si>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</si>
  <si>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</si>
  <si>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</si>
  <si>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</si>
  <si>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</si>
  <si>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</si>
  <si>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</si>
  <si>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</si>
  <si>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</si>
  <si>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</si>
  <si>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</si>
  <si>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</si>
  <si>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</si>
  <si>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</si>
  <si>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</si>
  <si>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</si>
  <si>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</si>
  <si>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</si>
  <si>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</si>
  <si>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</si>
  <si>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</si>
  <si>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</si>
  <si>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</si>
  <si>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</si>
  <si>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</si>
  <si>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</si>
  <si>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</si>
  <si>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</si>
  <si>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</si>
  <si>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</si>
  <si>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</si>
  <si>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</si>
  <si>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</si>
  <si>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</si>
  <si>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</si>
  <si>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</si>
  <si>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</si>
  <si>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</si>
  <si>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</si>
  <si>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</si>
  <si>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</si>
  <si>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</si>
  <si>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</si>
  <si>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</si>
  <si>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</si>
  <si>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</si>
  <si>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</si>
  <si>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</si>
  <si>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</si>
  <si>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</si>
  <si>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</si>
  <si>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</si>
  <si>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</si>
  <si>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</si>
  <si>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</si>
  <si>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</si>
  <si>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</si>
  <si>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</si>
  <si>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</si>
  <si>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</si>
  <si>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</si>
  <si>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</si>
  <si>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</si>
  <si>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</si>
  <si>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</si>
  <si>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</si>
  <si>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</si>
  <si>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</si>
  <si>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</si>
  <si>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</si>
  <si>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</si>
  <si>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</si>
  <si>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</si>
  <si>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</si>
  <si>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</si>
  <si>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</si>
  <si>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</si>
  <si>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</si>
  <si>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</si>
  <si>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</si>
  <si>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</si>
  <si>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</si>
  <si>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</si>
  <si>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</si>
  <si>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</si>
  <si>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</si>
  <si>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</si>
  <si>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</si>
  <si>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</si>
  <si>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</si>
  <si>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</si>
  <si>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</si>
  <si>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</si>
  <si>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</si>
  <si>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</si>
  <si>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</si>
  <si>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</si>
  <si>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</si>
  <si>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</si>
  <si>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</si>
  <si>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</si>
  <si>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</si>
  <si>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</si>
  <si>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</si>
  <si>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</si>
  <si>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</si>
  <si>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</si>
  <si>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</si>
  <si>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</si>
  <si>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</si>
  <si>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</si>
  <si>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</si>
  <si>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</si>
  <si>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</si>
  <si>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</si>
  <si>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</si>
  <si>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</si>
  <si>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</si>
  <si>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</si>
  <si>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</si>
  <si>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</si>
  <si>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</si>
  <si>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</si>
  <si>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</si>
  <si>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</si>
  <si>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</si>
  <si>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</si>
  <si>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</si>
  <si>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</si>
  <si>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</si>
  <si>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</si>
  <si>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</si>
  <si>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</si>
  <si>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</si>
  <si>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</si>
  <si>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</si>
  <si>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</si>
  <si>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</si>
  <si>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</si>
  <si>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</si>
  <si>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</si>
  <si>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</si>
  <si>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</si>
  <si>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</si>
  <si>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</si>
  <si>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</si>
  <si>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</si>
  <si>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</si>
  <si>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</si>
  <si>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</si>
  <si>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</si>
  <si>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</si>
  <si>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</si>
  <si>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</si>
  <si>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</si>
  <si>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</si>
  <si>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</si>
  <si>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</si>
  <si>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</si>
  <si>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</si>
  <si>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</si>
  <si>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</si>
  <si>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</si>
  <si>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</si>
  <si>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</si>
  <si>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</si>
  <si>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</si>
  <si>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</si>
  <si>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</si>
  <si>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</si>
  <si>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</si>
  <si>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</si>
  <si>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</si>
  <si>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</si>
  <si>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</si>
  <si>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</si>
  <si>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</si>
  <si>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</si>
  <si>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</si>
  <si>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</si>
  <si>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</si>
  <si>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</si>
  <si>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</si>
  <si>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</si>
  <si>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</si>
  <si>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</si>
  <si>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</si>
  <si>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</si>
  <si>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</si>
  <si>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</si>
  <si>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</si>
  <si>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</si>
  <si>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</si>
  <si>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</si>
  <si>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</si>
  <si>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</si>
  <si>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</si>
  <si>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</si>
  <si>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</si>
  <si>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</si>
  <si>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</si>
  <si>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</si>
  <si>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</si>
  <si>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</si>
  <si>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</si>
  <si>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</si>
  <si>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</si>
  <si>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</si>
  <si>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</si>
  <si>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</si>
  <si>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</si>
  <si>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</si>
  <si>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</si>
  <si>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</si>
  <si>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</si>
  <si>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</si>
  <si>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</si>
  <si>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</si>
  <si>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</si>
  <si>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</si>
  <si>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</si>
  <si>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</si>
  <si>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</si>
  <si>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</si>
  <si>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</si>
  <si>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</si>
  <si>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</si>
  <si>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</si>
  <si>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</si>
  <si>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</si>
  <si>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</si>
  <si>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</si>
  <si>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</si>
  <si>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</si>
  <si>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</si>
  <si>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</si>
  <si>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</si>
  <si>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</si>
  <si>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</si>
  <si>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</si>
  <si>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</si>
  <si>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</si>
  <si>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</si>
  <si>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</si>
  <si>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</si>
  <si>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</si>
  <si>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</si>
  <si>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</si>
  <si>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</si>
  <si>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</si>
  <si>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</si>
  <si>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</si>
  <si>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</si>
  <si>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</si>
  <si>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</si>
  <si>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</si>
  <si>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</si>
  <si>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</si>
  <si>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</si>
  <si>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</si>
  <si>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</si>
  <si>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</si>
  <si>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</si>
  <si>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</si>
  <si>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</si>
  <si>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</si>
  <si>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</si>
  <si>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</si>
  <si>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</si>
  <si>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</si>
  <si>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</si>
  <si>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</si>
  <si>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</si>
  <si>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</si>
  <si>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</si>
  <si>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</si>
  <si>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</si>
  <si>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</si>
  <si>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</si>
  <si>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</si>
  <si>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</si>
  <si>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</si>
  <si>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</si>
  <si>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</si>
  <si>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</si>
  <si>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</si>
  <si>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</si>
  <si>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</si>
  <si>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</si>
  <si>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</si>
  <si>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</si>
  <si>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</si>
  <si>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</si>
  <si>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</si>
  <si>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</si>
  <si>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</si>
  <si>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</si>
  <si>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</si>
  <si>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</si>
  <si>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</si>
  <si>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</si>
  <si>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</si>
  <si>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</si>
  <si>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</si>
  <si>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</si>
  <si>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</si>
  <si>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</si>
  <si>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</si>
  <si>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</si>
  <si>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</si>
  <si>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</si>
  <si>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</si>
  <si>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</si>
  <si>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</si>
  <si>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</si>
  <si>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</si>
  <si>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</si>
  <si>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</si>
  <si>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</si>
  <si>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</si>
  <si>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</si>
  <si>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</si>
  <si>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</si>
  <si>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</si>
  <si>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</si>
  <si>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</si>
  <si>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</si>
  <si>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</si>
  <si>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</si>
  <si>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</si>
  <si>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</si>
  <si>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</si>
  <si>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</si>
  <si>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</si>
  <si>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</si>
  <si>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</si>
  <si>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</si>
  <si>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</si>
  <si>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</si>
  <si>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</si>
  <si>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</si>
  <si>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</si>
  <si>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</si>
  <si>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</si>
  <si>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</si>
  <si>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</si>
  <si>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</si>
  <si>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</si>
  <si>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</si>
  <si>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</si>
  <si>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</si>
  <si>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</si>
  <si>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</si>
  <si>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</si>
  <si>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</si>
  <si>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</si>
  <si>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</si>
  <si>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</si>
  <si>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</si>
  <si>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</si>
  <si>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</si>
  <si>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</si>
  <si>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</si>
  <si>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</si>
  <si>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</si>
  <si>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</si>
  <si>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</si>
  <si>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</si>
  <si>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</si>
  <si>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</si>
  <si>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</si>
  <si>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</si>
  <si>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</si>
  <si>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</si>
  <si>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</si>
  <si>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</si>
  <si>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</si>
  <si>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</si>
  <si>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</si>
  <si>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</si>
  <si>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</si>
  <si>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</si>
  <si>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</si>
  <si>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</si>
  <si>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</si>
  <si>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</si>
  <si>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</si>
  <si>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</si>
  <si>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</si>
  <si>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</si>
  <si>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</si>
  <si>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</si>
  <si>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</si>
  <si>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</si>
  <si>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</si>
  <si>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</si>
  <si>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</si>
  <si>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</si>
  <si>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</si>
  <si>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</si>
  <si>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</si>
  <si>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</si>
  <si>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</si>
  <si>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</si>
  <si>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</si>
  <si>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</si>
  <si>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</si>
  <si>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</si>
  <si>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</si>
  <si>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</si>
  <si>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</si>
  <si>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</si>
  <si>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</si>
  <si>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</si>
  <si>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</si>
  <si>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</si>
  <si>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</si>
  <si>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</si>
  <si>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</si>
  <si>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</si>
  <si>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</si>
  <si>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</si>
  <si>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</si>
  <si>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</si>
  <si>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</si>
  <si>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</si>
  <si>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</si>
  <si>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</si>
  <si>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</si>
  <si>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</si>
  <si>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</si>
  <si>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</si>
  <si>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</si>
  <si>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</si>
  <si>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</si>
  <si>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</si>
  <si>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</si>
  <si>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</si>
  <si>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</si>
  <si>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</si>
  <si>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</si>
  <si>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</si>
  <si>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</si>
  <si>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</si>
  <si>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</si>
  <si>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</si>
  <si>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</si>
  <si>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</si>
  <si>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</si>
  <si>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</si>
  <si>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</si>
  <si>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</si>
  <si>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</si>
  <si>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</si>
  <si>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</si>
  <si>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</si>
  <si>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</si>
  <si>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</si>
  <si>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</si>
  <si>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</si>
  <si>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</si>
  <si>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</si>
  <si>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</si>
  <si>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</si>
  <si>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</si>
  <si>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</si>
  <si>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</si>
  <si>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</si>
  <si>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</si>
  <si>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</si>
  <si>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</si>
  <si>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</si>
  <si>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</si>
  <si>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</si>
  <si>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</si>
  <si>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</si>
  <si>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</si>
  <si>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</si>
  <si>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</si>
  <si>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</si>
  <si>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</si>
  <si>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</si>
  <si>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</si>
  <si>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</si>
  <si>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</si>
  <si>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</si>
  <si>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</si>
  <si>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</si>
  <si>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</si>
  <si>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</si>
  <si>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</si>
  <si>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</si>
  <si>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</si>
  <si>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</si>
  <si>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</si>
  <si>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</si>
  <si>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</si>
  <si>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</si>
  <si>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</si>
  <si>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</si>
  <si>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</si>
  <si>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</si>
  <si>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</si>
  <si>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</si>
  <si>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</si>
  <si>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</si>
  <si>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</si>
  <si>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</si>
  <si>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</si>
  <si>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</si>
  <si>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</si>
  <si>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</si>
  <si>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</si>
  <si>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</si>
  <si>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</si>
  <si>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</si>
  <si>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</si>
  <si>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</si>
  <si>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</si>
  <si>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</si>
  <si>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</si>
  <si>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</si>
  <si>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</si>
  <si>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</si>
  <si>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</si>
  <si>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</si>
  <si>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</si>
  <si>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</si>
  <si>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</si>
  <si>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</si>
  <si>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</si>
  <si>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</si>
  <si>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</si>
  <si>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</si>
  <si>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</si>
  <si>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</si>
  <si>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</si>
  <si>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</si>
  <si>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</si>
  <si>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</si>
  <si>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</si>
  <si>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</si>
  <si>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</si>
  <si>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</si>
  <si>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</si>
  <si>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</si>
  <si>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</si>
  <si>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</si>
  <si>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</si>
  <si>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</si>
  <si>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</si>
  <si>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</si>
  <si>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</si>
  <si>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</si>
  <si>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</si>
  <si>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</si>
  <si>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</si>
  <si>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</si>
  <si>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</si>
  <si>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</si>
  <si>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</si>
  <si>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</si>
  <si>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</si>
  <si>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</si>
  <si>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</si>
  <si>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</si>
  <si>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</si>
  <si>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</si>
  <si>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</si>
  <si>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</si>
  <si>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</si>
  <si>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</si>
  <si>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</si>
  <si>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</si>
  <si>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</si>
  <si>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</si>
  <si>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</si>
  <si>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</si>
  <si>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</si>
  <si>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</si>
  <si>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</si>
  <si>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</si>
  <si>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</si>
  <si>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</si>
  <si>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</si>
  <si>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</si>
  <si>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</si>
  <si>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</si>
  <si>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</si>
  <si>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</si>
  <si>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</si>
  <si>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</si>
  <si>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</si>
  <si>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</si>
  <si>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</si>
  <si>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</si>
  <si>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</si>
  <si>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</si>
  <si>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</si>
  <si>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</si>
  <si>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</si>
  <si>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</si>
  <si>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</si>
  <si>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</si>
  <si>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</si>
  <si>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</si>
  <si>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</si>
  <si>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</si>
  <si>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</si>
  <si>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</si>
  <si>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</si>
  <si>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</si>
  <si>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</si>
  <si>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</si>
  <si>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</si>
  <si>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</si>
  <si>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</si>
  <si>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</si>
  <si>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</si>
  <si>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</si>
  <si>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</si>
  <si>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</si>
  <si>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</si>
  <si>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</si>
  <si>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</si>
  <si>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</si>
  <si>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</si>
  <si>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</si>
  <si>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</si>
  <si>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</si>
  <si>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</si>
  <si>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</si>
  <si>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</si>
  <si>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</si>
  <si>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</si>
  <si>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</si>
  <si>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</si>
  <si>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</si>
  <si>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</si>
  <si>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</si>
  <si>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</si>
  <si>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</si>
  <si>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</si>
  <si>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</si>
  <si>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</si>
  <si>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</si>
  <si>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</si>
  <si>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</si>
  <si>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</si>
  <si>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</si>
  <si>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</si>
  <si>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</si>
  <si>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</si>
  <si>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</si>
  <si>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</si>
  <si>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</si>
  <si>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</si>
  <si>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</si>
  <si>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</si>
  <si>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</si>
  <si>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</si>
  <si>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</si>
  <si>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</si>
  <si>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</si>
  <si>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</si>
  <si>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</si>
  <si>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</si>
  <si>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</si>
  <si>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</si>
  <si>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</si>
  <si>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</si>
  <si>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</si>
  <si>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</si>
  <si>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</si>
  <si>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</si>
  <si>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</si>
  <si>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</si>
  <si>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</si>
  <si>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</si>
  <si>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</si>
  <si>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</si>
  <si>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</si>
  <si>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</si>
  <si>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</si>
  <si>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</si>
  <si>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</si>
  <si>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</si>
  <si>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</si>
  <si>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</si>
  <si>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</si>
  <si>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</si>
  <si>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</si>
  <si>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</si>
  <si>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</si>
  <si>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</si>
  <si>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</si>
  <si>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</si>
  <si>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</si>
  <si>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</si>
  <si>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</si>
  <si>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</si>
  <si>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</si>
  <si>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</si>
  <si>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</si>
  <si>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</si>
  <si>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</si>
  <si>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</si>
  <si>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</si>
  <si>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</si>
  <si>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</si>
  <si>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</si>
  <si>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</si>
  <si>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</si>
  <si>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</si>
  <si>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</si>
  <si>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</si>
  <si>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</si>
  <si>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</si>
  <si>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</si>
  <si>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</si>
  <si>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</si>
  <si>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</si>
  <si>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</si>
  <si>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</si>
  <si>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</si>
  <si>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</si>
  <si>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</si>
  <si>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</si>
  <si>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</si>
  <si>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</si>
  <si>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</si>
  <si>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</si>
  <si>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</si>
  <si>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</si>
  <si>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</si>
  <si>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</si>
  <si>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</si>
  <si>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</si>
  <si>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</si>
  <si>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</si>
  <si>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</si>
  <si>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</si>
  <si>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</si>
  <si>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</si>
  <si>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</si>
  <si>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</si>
  <si>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</si>
  <si>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</si>
  <si>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</si>
  <si>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</si>
  <si>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</si>
  <si>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</si>
  <si>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</si>
  <si>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</si>
  <si>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</si>
  <si>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</si>
  <si>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</si>
  <si>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</si>
  <si>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</si>
  <si>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</si>
  <si>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</si>
  <si>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</si>
  <si>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</si>
  <si>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</si>
  <si>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</si>
  <si>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</si>
  <si>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</si>
  <si>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</si>
  <si>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</si>
  <si>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</si>
  <si>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</si>
  <si>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</si>
  <si>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</si>
  <si>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</si>
  <si>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</si>
  <si>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</si>
  <si>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</si>
  <si>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</si>
  <si>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</si>
  <si>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</si>
  <si>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</si>
  <si>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</si>
  <si>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</si>
  <si>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</si>
  <si>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</si>
  <si>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</si>
  <si>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</si>
  <si>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</si>
  <si>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</si>
  <si>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</si>
  <si>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</si>
  <si>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</si>
  <si>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</si>
  <si>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</si>
  <si>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</si>
  <si>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</si>
  <si>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</si>
  <si>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</si>
  <si>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</si>
  <si>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</si>
  <si>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</si>
  <si>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</si>
  <si>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</si>
  <si>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</si>
  <si>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</si>
  <si>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</si>
  <si>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</si>
  <si>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</si>
  <si>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</si>
  <si>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</si>
  <si>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</si>
  <si>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</si>
  <si>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</si>
  <si>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</si>
  <si>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</si>
  <si>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</si>
  <si>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</si>
  <si>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</si>
  <si>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</si>
  <si>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</si>
  <si>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</si>
  <si>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</si>
  <si>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</si>
  <si>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</si>
  <si>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</si>
  <si>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</si>
  <si>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</si>
  <si>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</si>
  <si>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</si>
  <si>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</si>
  <si>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</si>
  <si>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</si>
  <si>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</si>
  <si>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</si>
  <si>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</si>
  <si>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</si>
  <si>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</si>
  <si>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</si>
  <si>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</si>
  <si>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</si>
  <si>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</si>
  <si>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</si>
  <si>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</si>
  <si>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</si>
  <si>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</si>
  <si>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</si>
  <si>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</si>
  <si>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</si>
  <si>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</si>
  <si>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</si>
  <si>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</si>
  <si>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</si>
  <si>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</si>
  <si>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</si>
  <si>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</si>
  <si>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</si>
  <si>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</si>
  <si>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</si>
  <si>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</si>
  <si>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</si>
  <si>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</si>
  <si>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</si>
  <si>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</si>
  <si>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</si>
  <si>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</si>
  <si>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</si>
  <si>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</si>
  <si>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</si>
  <si>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</si>
  <si>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</si>
  <si>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</si>
  <si>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</si>
  <si>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</si>
  <si>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</si>
  <si>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</si>
  <si>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</si>
  <si>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</si>
  <si>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</si>
  <si>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</si>
  <si>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</si>
  <si>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</si>
  <si>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</si>
  <si>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</si>
  <si>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</si>
  <si>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</si>
  <si>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</si>
  <si>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</si>
  <si>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</si>
  <si>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</si>
  <si>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</si>
  <si>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</si>
  <si>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</si>
  <si>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</si>
  <si>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</si>
  <si>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</si>
  <si>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</si>
  <si>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</si>
  <si>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</si>
  <si>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</si>
  <si>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</si>
  <si>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</si>
  <si>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</si>
  <si>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</si>
  <si>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</si>
  <si>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</si>
  <si>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</si>
  <si>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</si>
  <si>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</si>
  <si>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</si>
  <si>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</si>
  <si>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</si>
  <si>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</si>
  <si>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</si>
  <si>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</si>
  <si>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</si>
  <si>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</si>
  <si>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</si>
  <si>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</si>
  <si>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</si>
  <si>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</si>
  <si>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</si>
  <si>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</si>
  <si>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</si>
  <si>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</si>
  <si>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</si>
  <si>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</si>
  <si>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</si>
  <si>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</si>
  <si>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</si>
  <si>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</si>
  <si>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</si>
  <si>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</si>
  <si>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</si>
  <si>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</si>
  <si>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</si>
  <si>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</si>
  <si>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</si>
  <si>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</si>
  <si>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</si>
  <si>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</si>
  <si>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</si>
  <si>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</si>
  <si>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</si>
  <si>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</si>
  <si>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</si>
  <si>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</si>
  <si>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</si>
  <si>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</si>
  <si>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</si>
  <si>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</si>
  <si>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</si>
  <si>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</si>
  <si>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</si>
  <si>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</si>
  <si>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</si>
  <si>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</si>
  <si>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</si>
  <si>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</si>
  <si>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</si>
  <si>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</si>
  <si>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</si>
  <si>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</si>
  <si>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</si>
  <si>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</si>
  <si>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</si>
  <si>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</si>
  <si>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</si>
  <si>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</si>
  <si>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</si>
  <si>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</si>
  <si>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</si>
  <si>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</si>
  <si>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</si>
  <si>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</si>
  <si>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</si>
  <si>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</si>
  <si>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</si>
  <si>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</si>
  <si>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</si>
  <si>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</si>
  <si>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</si>
  <si>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</si>
  <si>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</si>
  <si>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</si>
  <si>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</si>
  <si>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</si>
  <si>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</si>
  <si>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</si>
  <si>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</si>
  <si>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</si>
  <si>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</si>
  <si>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</si>
  <si>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</si>
  <si>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</si>
  <si>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</si>
  <si>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</si>
  <si>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</si>
  <si>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</si>
  <si>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</si>
  <si>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</si>
  <si>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</si>
  <si>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</si>
  <si>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</si>
  <si>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</si>
  <si>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</si>
  <si>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</si>
  <si>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</si>
  <si>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</si>
  <si>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</si>
  <si>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</si>
  <si>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</si>
  <si>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</si>
  <si>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</si>
  <si>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</si>
  <si>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</si>
  <si>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</si>
  <si>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</si>
  <si>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</si>
  <si>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</si>
  <si>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</si>
  <si>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</si>
  <si>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</si>
  <si>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</si>
  <si>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</si>
  <si>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</si>
  <si>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</si>
  <si>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</si>
  <si>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</si>
  <si>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</si>
  <si>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</si>
  <si>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</si>
  <si>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</si>
  <si>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</si>
  <si>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</si>
  <si>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</si>
  <si>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</si>
  <si>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</si>
  <si>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</si>
  <si>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</si>
  <si>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</si>
  <si>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</si>
  <si>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</si>
  <si>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</si>
  <si>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</si>
  <si>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</si>
  <si>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</si>
  <si>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</si>
  <si>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</si>
  <si>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</si>
  <si>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</si>
  <si>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</si>
  <si>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</si>
  <si>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</si>
  <si>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</si>
  <si>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</si>
  <si>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</si>
  <si>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</si>
  <si>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</si>
  <si>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</si>
  <si>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</si>
  <si>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</si>
  <si>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</si>
  <si>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</si>
  <si>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</si>
  <si>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</si>
  <si>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</si>
  <si>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</si>
  <si>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</si>
  <si>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</si>
  <si>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</si>
  <si>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</si>
  <si>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</si>
  <si>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</si>
  <si>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</si>
  <si>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</si>
  <si>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</si>
  <si>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</si>
  <si>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</si>
  <si>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</si>
  <si>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</si>
  <si>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</si>
  <si>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</si>
  <si>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</si>
  <si>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</si>
  <si>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</si>
  <si>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</si>
  <si>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</si>
  <si>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</si>
  <si>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</si>
  <si>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</si>
  <si>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</si>
  <si>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</si>
  <si>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</si>
  <si>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</si>
  <si>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</si>
  <si>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</si>
  <si>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</si>
  <si>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</si>
  <si>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</si>
  <si>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</si>
  <si>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</si>
  <si>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</si>
  <si>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</si>
  <si>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</si>
  <si>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</si>
  <si>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</si>
  <si>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</si>
  <si>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</si>
  <si>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</si>
  <si>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</si>
  <si>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</si>
  <si>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</si>
  <si>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</si>
  <si>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</si>
  <si>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</si>
  <si>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</si>
  <si>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</si>
  <si>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</si>
  <si>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</si>
  <si>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</si>
  <si>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</si>
  <si>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</si>
  <si>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</si>
  <si>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</si>
  <si>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</si>
  <si>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</si>
  <si>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</si>
  <si>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</si>
  <si>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</si>
  <si>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</si>
  <si>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</si>
  <si>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</si>
  <si>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</si>
  <si>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</si>
  <si>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</si>
  <si>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</si>
  <si>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</si>
  <si>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</si>
  <si>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</si>
  <si>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</si>
  <si>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</si>
  <si>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</si>
  <si>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</si>
  <si>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</si>
  <si>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</si>
  <si>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</si>
  <si>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</si>
  <si>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</si>
  <si>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</si>
  <si>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</si>
  <si>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</si>
  <si>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</si>
  <si>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</si>
  <si>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</si>
  <si>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</si>
  <si>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</si>
  <si>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</si>
  <si>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</si>
  <si>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</si>
  <si>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</si>
  <si>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</si>
  <si>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</si>
  <si>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</si>
  <si>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</si>
  <si>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</si>
  <si>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</si>
  <si>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</si>
  <si>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</si>
  <si>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</si>
  <si>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</si>
  <si>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</si>
  <si>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</si>
  <si>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</si>
  <si>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</si>
  <si>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</si>
  <si>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</si>
  <si>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</si>
  <si>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</si>
  <si>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</si>
  <si>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</si>
  <si>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</si>
  <si>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</si>
  <si>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</si>
  <si>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</si>
  <si>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</si>
  <si>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</si>
  <si>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</si>
  <si>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</si>
  <si>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</si>
  <si>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</si>
  <si>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</si>
  <si>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</si>
  <si>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</si>
  <si>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</si>
  <si>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</si>
  <si>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</si>
  <si>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</si>
  <si>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</si>
  <si>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</si>
  <si>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</si>
  <si>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</si>
  <si>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</si>
  <si>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</si>
  <si>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</si>
  <si>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</si>
  <si>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</si>
  <si>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</si>
  <si>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</si>
  <si>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</si>
  <si>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</si>
  <si>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</si>
  <si>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</si>
  <si>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</si>
  <si>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</si>
  <si>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</si>
  <si>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</si>
  <si>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</si>
  <si>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</si>
  <si>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</si>
  <si>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</si>
  <si>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</si>
  <si>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</si>
  <si>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</si>
  <si>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</si>
  <si>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</si>
  <si>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</si>
  <si>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</si>
  <si>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</si>
  <si>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</si>
  <si>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</si>
  <si>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</si>
  <si>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</si>
  <si>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</si>
  <si>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</si>
  <si>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</si>
  <si>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</si>
  <si>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</si>
  <si>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</si>
  <si>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</si>
  <si>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</si>
  <si>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</si>
  <si>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</si>
  <si>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</si>
  <si>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</si>
  <si>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</si>
  <si>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</si>
  <si>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</si>
  <si>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</si>
  <si>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</si>
  <si>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</si>
  <si>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</si>
  <si>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</si>
  <si>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</si>
  <si>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</si>
  <si>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</si>
  <si>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</si>
  <si>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</si>
  <si>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</si>
  <si>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</si>
  <si>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</si>
  <si>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</si>
  <si>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</si>
  <si>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</si>
  <si>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</si>
  <si>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</si>
  <si>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</si>
  <si>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</si>
  <si>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</si>
  <si>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</si>
  <si>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</si>
  <si>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</si>
  <si>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</si>
  <si>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</si>
  <si>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</si>
  <si>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</si>
  <si>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</si>
  <si>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</si>
  <si>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</si>
  <si>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</si>
  <si>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</si>
  <si>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</si>
  <si>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</si>
  <si>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</si>
  <si>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</si>
  <si>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</si>
  <si>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</si>
  <si>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</si>
  <si>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</si>
  <si>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</si>
  <si>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</si>
  <si>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</si>
  <si>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</si>
  <si>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</si>
  <si>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</si>
  <si>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</si>
  <si>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</si>
  <si>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</si>
  <si>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</si>
  <si>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</si>
  <si>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</si>
  <si>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</si>
  <si>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</si>
  <si>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</si>
  <si>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</si>
  <si>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</si>
  <si>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</si>
  <si>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</si>
  <si>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</si>
  <si>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</si>
  <si>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</si>
  <si>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</si>
  <si>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</si>
  <si>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</si>
  <si>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</si>
  <si>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</si>
  <si>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</si>
  <si>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</si>
  <si>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</si>
  <si>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</si>
  <si>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</si>
  <si>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</si>
  <si>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</si>
  <si>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</si>
  <si>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</si>
  <si>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</si>
  <si>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</si>
  <si>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</si>
  <si>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</si>
  <si>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</si>
  <si>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</si>
  <si>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</si>
  <si>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</si>
  <si>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</si>
  <si>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</si>
  <si>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</si>
  <si>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</si>
  <si>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</si>
  <si>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</si>
  <si>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</si>
  <si>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</si>
  <si>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</si>
  <si>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</si>
  <si>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</si>
  <si>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</si>
  <si>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</si>
  <si>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</si>
  <si>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</si>
  <si>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</si>
  <si>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</si>
  <si>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</si>
  <si>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</si>
  <si>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</si>
  <si>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</si>
  <si>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</si>
  <si>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</si>
  <si>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</si>
  <si>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</si>
  <si>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</si>
  <si>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</si>
  <si>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</si>
  <si>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</si>
  <si>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</si>
  <si>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</si>
  <si>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</si>
  <si>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</si>
  <si>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</si>
  <si>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</si>
  <si>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</si>
  <si>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</si>
  <si>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</si>
  <si>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</si>
  <si>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</si>
  <si>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</si>
  <si>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</si>
  <si>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</si>
  <si>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</si>
  <si>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</si>
  <si>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</si>
  <si>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</si>
  <si>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</si>
  <si>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</si>
  <si>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</si>
  <si>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</si>
  <si>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</si>
  <si>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</si>
  <si>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</si>
  <si>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</si>
  <si>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</si>
  <si>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</si>
  <si>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</si>
  <si>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</si>
  <si>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</si>
  <si>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</si>
  <si>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</si>
  <si>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</si>
  <si>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</si>
  <si>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</si>
  <si>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</si>
  <si>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</si>
  <si>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</si>
  <si>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</si>
  <si>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</si>
  <si>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</si>
  <si>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</si>
  <si>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</si>
  <si>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</si>
  <si>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</si>
  <si>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</si>
  <si>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</si>
  <si>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</si>
  <si>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</si>
  <si>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</si>
  <si>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</si>
  <si>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</si>
  <si>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</si>
  <si>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</si>
  <si>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</si>
  <si>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</si>
  <si>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</si>
  <si>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</si>
  <si>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</si>
  <si>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</si>
  <si>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</si>
  <si>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</si>
  <si>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</si>
  <si>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</si>
  <si>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</si>
  <si>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</si>
  <si>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</si>
  <si>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</si>
  <si>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</si>
  <si>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</si>
  <si>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</si>
  <si>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</si>
  <si>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</si>
  <si>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</si>
  <si>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</si>
  <si>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</si>
  <si>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</si>
  <si>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</si>
  <si>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</si>
  <si>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</si>
  <si>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</si>
  <si>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</si>
  <si>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</si>
  <si>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</si>
  <si>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</si>
  <si>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</si>
  <si>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</si>
  <si>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</si>
  <si>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</si>
  <si>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</si>
  <si>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</si>
  <si>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</si>
  <si>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</si>
  <si>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</si>
  <si>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</si>
  <si>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</si>
  <si>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</si>
  <si>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</si>
  <si>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</si>
  <si>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</si>
  <si>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</si>
  <si>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</si>
  <si>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</si>
  <si>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</si>
  <si>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</si>
  <si>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</si>
  <si>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</si>
  <si>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</si>
  <si>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</si>
  <si>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</si>
  <si>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</si>
  <si>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</si>
  <si>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</si>
  <si>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</si>
  <si>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</si>
  <si>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</si>
  <si>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</si>
  <si>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</si>
  <si>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</si>
  <si>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</si>
  <si>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</si>
  <si>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</si>
  <si>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</si>
  <si>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</si>
  <si>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</si>
  <si>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</si>
  <si>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</si>
  <si>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</si>
  <si>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</si>
  <si>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</si>
  <si>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</si>
  <si>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</si>
  <si>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</si>
  <si>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</si>
  <si>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</si>
  <si>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</si>
  <si>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</si>
  <si>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</si>
  <si>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</si>
  <si>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</si>
  <si>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</si>
  <si>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</si>
  <si>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</si>
  <si>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</si>
  <si>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</si>
  <si>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</si>
  <si>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</si>
  <si>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</si>
  <si>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</si>
  <si>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</si>
  <si>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</si>
  <si>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</si>
  <si>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</si>
  <si>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</si>
  <si>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</si>
  <si>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</si>
  <si>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</si>
  <si>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</si>
  <si>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</si>
  <si>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</si>
  <si>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</si>
  <si>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</si>
  <si>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</si>
  <si>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</si>
  <si>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</si>
  <si>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</si>
  <si>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</si>
  <si>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</si>
  <si>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</si>
  <si>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</si>
  <si>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</si>
  <si>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</si>
  <si>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</si>
  <si>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</si>
  <si>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</si>
  <si>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</si>
  <si>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</si>
  <si>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</si>
  <si>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</si>
  <si>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</si>
  <si>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</si>
  <si>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</si>
  <si>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</si>
  <si>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</si>
  <si>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</si>
  <si>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</si>
  <si>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</si>
  <si>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</si>
  <si>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</si>
  <si>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</si>
  <si>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</si>
  <si>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</si>
  <si>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</si>
  <si>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</si>
  <si>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</si>
  <si>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</si>
  <si>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</si>
  <si>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</si>
  <si>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</si>
  <si>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</si>
  <si>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</si>
  <si>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</si>
  <si>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</si>
  <si>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</si>
  <si>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</si>
  <si>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</si>
  <si>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وغدیر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</si>
  <si>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</si>
  <si>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</si>
  <si>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</si>
  <si>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</si>
  <si>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</si>
  <si>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</si>
  <si>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</si>
  <si>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</si>
  <si>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</si>
  <si>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</si>
  <si>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</si>
  <si>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</si>
  <si>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</si>
  <si>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</si>
  <si>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</si>
  <si>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</si>
  <si>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</si>
  <si>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</si>
  <si>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</si>
  <si>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</si>
  <si>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</si>
  <si>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</si>
  <si>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</si>
  <si>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</si>
  <si>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</si>
  <si>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</si>
  <si>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</si>
  <si>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</si>
  <si>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</si>
  <si>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</si>
  <si>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</si>
  <si>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</si>
  <si>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</si>
  <si>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</si>
  <si>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</si>
  <si>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</si>
  <si>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</si>
  <si>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</si>
  <si>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</si>
  <si>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</si>
  <si>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</si>
  <si>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</si>
  <si>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</si>
  <si>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</si>
  <si>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</si>
  <si>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</si>
  <si>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</si>
  <si>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</si>
  <si>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</si>
  <si>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</si>
  <si>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</si>
  <si>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</si>
  <si>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</si>
  <si>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</si>
  <si>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</si>
  <si>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</si>
  <si>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</si>
  <si>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</si>
  <si>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</si>
  <si>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</si>
  <si>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</si>
  <si>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</si>
  <si>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</si>
  <si>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</si>
  <si>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</si>
  <si>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</si>
  <si>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7/8/1397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</si>
  <si>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</si>
  <si>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</si>
  <si>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</si>
  <si>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</si>
  <si>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</si>
  <si>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</si>
  <si>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</si>
  <si>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</si>
  <si>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</si>
  <si>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</si>
  <si>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</si>
  <si>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</si>
  <si>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</si>
  <si>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</si>
  <si>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</si>
  <si>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</si>
  <si>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</si>
  <si>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</si>
  <si>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</si>
  <si>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</si>
  <si>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</si>
  <si>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</si>
  <si>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</si>
  <si>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</si>
  <si>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</si>
  <si>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</si>
  <si>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</si>
  <si>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</si>
  <si>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</si>
  <si>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</si>
  <si>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</si>
  <si>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</si>
  <si>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</si>
  <si>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</si>
  <si>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</si>
  <si>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</si>
  <si>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</si>
  <si>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</si>
  <si>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</si>
  <si>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</si>
  <si>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</si>
  <si>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</si>
  <si>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</si>
  <si>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</si>
  <si>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</si>
  <si>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</si>
  <si>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</si>
  <si>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</si>
  <si>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</si>
  <si>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</si>
  <si>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</si>
  <si>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</si>
  <si>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</si>
  <si>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</si>
  <si>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</si>
  <si>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</si>
  <si>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</si>
  <si>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</si>
  <si>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</si>
  <si>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</si>
  <si>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</si>
  <si>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</si>
  <si>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</si>
  <si>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</si>
  <si>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</si>
  <si>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</si>
  <si>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</si>
  <si>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</si>
  <si>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</si>
  <si>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</si>
  <si>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</si>
  <si>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</si>
  <si>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</si>
  <si>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</si>
  <si>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</si>
  <si>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</si>
  <si>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</si>
  <si>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</si>
  <si>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</si>
  <si>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</si>
  <si>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</si>
  <si>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</si>
  <si>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</si>
  <si>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</si>
  <si>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</si>
  <si>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</si>
  <si>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</si>
  <si>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</si>
  <si>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</si>
  <si>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</si>
  <si>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</si>
  <si>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</si>
  <si>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</si>
  <si>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</si>
  <si>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</si>
  <si>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</si>
  <si>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</si>
  <si>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</si>
  <si>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</si>
  <si>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شاراک</t>
  </si>
  <si>
    <t>روز عرضه اولیه سنگین قیمتها افت میکنه</t>
  </si>
  <si>
    <t>از ملت مریم به ملت علی 27/8</t>
  </si>
  <si>
    <t>نوسانگیری 13991 تا وغدیر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</si>
  <si>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</si>
  <si>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</si>
  <si>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</si>
  <si>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</si>
  <si>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</si>
  <si>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</si>
  <si>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</si>
  <si>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</si>
  <si>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سهم علی از 155 تا زپارس حساب علی</t>
  </si>
  <si>
    <t>سهم علی از 155 تا زپارس حساب مریم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</si>
  <si>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</si>
  <si>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</si>
  <si>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</si>
  <si>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</si>
  <si>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نوسانگیری 20408 تا وصنعت 29/8</t>
  </si>
  <si>
    <t>از ملت علی به بورس علی 30/8</t>
  </si>
  <si>
    <t>30/8/1397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</si>
  <si>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</si>
  <si>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</si>
  <si>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</si>
  <si>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</si>
  <si>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</si>
  <si>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</si>
  <si>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</si>
  <si>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</si>
  <si>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سارا</t>
  </si>
  <si>
    <t>5/9/1397</t>
  </si>
  <si>
    <t>وغدیر 10000 تا 177.5</t>
  </si>
  <si>
    <t>6/9/1397</t>
  </si>
  <si>
    <t>6/91397</t>
  </si>
  <si>
    <t>10/9/1397</t>
  </si>
  <si>
    <t>7/9/1397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</si>
  <si>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</si>
  <si>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</si>
  <si>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</si>
  <si>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</si>
  <si>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</si>
  <si>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</si>
  <si>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</si>
  <si>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</si>
  <si>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</si>
  <si>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</si>
  <si>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</si>
  <si>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</si>
  <si>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</si>
  <si>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</si>
  <si>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</si>
  <si>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</si>
  <si>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</si>
  <si>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</si>
  <si>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</si>
  <si>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</si>
  <si>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</si>
  <si>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</si>
  <si>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</si>
  <si>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</si>
  <si>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</si>
  <si>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</si>
  <si>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</si>
  <si>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</si>
  <si>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</si>
  <si>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</si>
  <si>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</si>
  <si>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</si>
  <si>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</si>
  <si>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</si>
  <si>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</si>
  <si>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</si>
  <si>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</si>
  <si>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</si>
  <si>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</si>
  <si>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</si>
  <si>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</si>
  <si>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</si>
  <si>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</si>
  <si>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</si>
  <si>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</si>
  <si>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12/9/1397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</si>
  <si>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</si>
  <si>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</si>
  <si>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</si>
  <si>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</si>
  <si>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</si>
  <si>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</si>
  <si>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14/9/1397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</si>
  <si>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</si>
  <si>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</si>
  <si>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</si>
  <si>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</si>
  <si>
    <t>17/9/1397</t>
  </si>
  <si>
    <t>مبلغ 41000 تومن نوسانگیری</t>
  </si>
  <si>
    <t>18/9/1397</t>
  </si>
  <si>
    <t>مبلغ 30000 تومن نوسانگیری</t>
  </si>
  <si>
    <t>مریم تسویه کرد</t>
  </si>
  <si>
    <t>پول اس ام اس</t>
  </si>
  <si>
    <t>19/9/1397</t>
  </si>
  <si>
    <t>تبدیل تمام سهمهای جزیی به وغدیر و یا سکه یا شاراک</t>
  </si>
  <si>
    <t>از مسکن سارا به علی تعلق گرفت</t>
  </si>
  <si>
    <t>وغدیر 8705 تا 184.6 که 2715 تا حساب مریم  (1000 تا 1739 فروخته شده)</t>
  </si>
  <si>
    <t>وغدیر 4661 تا 184.6 حساب سارا (1000 تا 1739 فروخته شده)</t>
  </si>
  <si>
    <t>نقد به مریم دادم 21/9/97</t>
  </si>
  <si>
    <t>22/9/1397</t>
  </si>
  <si>
    <t>24/9/1397</t>
  </si>
  <si>
    <t>وغدیر 10000 تا متوسط 168.5</t>
  </si>
  <si>
    <t>به امیر قدس</t>
  </si>
  <si>
    <t>25/9/1397</t>
  </si>
  <si>
    <t>وغدیر 800 تا 166.2</t>
  </si>
  <si>
    <t>وغدیر 604 تا 166.7</t>
  </si>
  <si>
    <t>بنزین و موز</t>
  </si>
  <si>
    <t>علی بنزین و موز 24/9</t>
  </si>
  <si>
    <t>به بورس سارا و خرید</t>
  </si>
  <si>
    <t>وغدیر 1094 تا 166.6</t>
  </si>
  <si>
    <t>وغدیر 1326 تا 166</t>
  </si>
  <si>
    <t>28/9/1397</t>
  </si>
  <si>
    <t>میانگین فروش</t>
  </si>
  <si>
    <t>27/9/1397</t>
  </si>
  <si>
    <t>مانده پیش علی از فروش 2 عدد سکه 26/9/97</t>
  </si>
  <si>
    <t>خرید علی تره بار</t>
  </si>
  <si>
    <t>خرید علی از تره بار</t>
  </si>
  <si>
    <t xml:space="preserve">وغدیر6362 تا 160.2 </t>
  </si>
  <si>
    <t>27/9/97</t>
  </si>
  <si>
    <t>26/9/97</t>
  </si>
  <si>
    <t>28/9/97</t>
  </si>
  <si>
    <t>مبلغ 31299 تومن نوسانگیری</t>
  </si>
  <si>
    <t>نسبت تبدیل سکه به وغدیر</t>
  </si>
  <si>
    <t>سبد پیشنهادی برای بررسی نسبی</t>
  </si>
  <si>
    <t>شسپا</t>
  </si>
  <si>
    <t>شفن</t>
  </si>
  <si>
    <t>شخارک</t>
  </si>
  <si>
    <t>پردیس</t>
  </si>
  <si>
    <t>وتوسم</t>
  </si>
  <si>
    <t>نماد</t>
  </si>
  <si>
    <t>3/5/1395</t>
  </si>
  <si>
    <t>a</t>
  </si>
  <si>
    <t>b</t>
  </si>
  <si>
    <t>c</t>
  </si>
  <si>
    <t>a&gt;b</t>
  </si>
  <si>
    <t>b&gt;c</t>
  </si>
  <si>
    <t>c&gt;b</t>
  </si>
  <si>
    <t>c&gt;a</t>
  </si>
  <si>
    <t>a=c</t>
  </si>
  <si>
    <t>نسبت</t>
  </si>
  <si>
    <t>1/10/1397</t>
  </si>
  <si>
    <t>1/10/1398</t>
  </si>
  <si>
    <t>خرید و نقد از کارت سارا 1/10/97</t>
  </si>
  <si>
    <t>2/10/1397</t>
  </si>
  <si>
    <t>3/10/1397</t>
  </si>
  <si>
    <t>تشویقی</t>
  </si>
  <si>
    <t>از ملت علی به انصار مریم و مسکن سارا</t>
  </si>
  <si>
    <t>4/10/1397</t>
  </si>
  <si>
    <t>مانده از 1700000 واریزی مریم 3/10</t>
  </si>
  <si>
    <t>از علی به صندوق و از صندوق به مریم</t>
  </si>
  <si>
    <t xml:space="preserve">مبلغ 100000 تومن نوسانگیری  </t>
  </si>
  <si>
    <t>سود فروش در بورس</t>
  </si>
  <si>
    <t>5/10/1397</t>
  </si>
  <si>
    <t>8/10/1397</t>
  </si>
  <si>
    <t>شلرد</t>
  </si>
  <si>
    <t>6/10/1397</t>
  </si>
  <si>
    <t>خرید کیف و کفش و پیتزا</t>
  </si>
  <si>
    <t>خرید پیتزا 6/10</t>
  </si>
  <si>
    <t>از ملت علی 3 واریز و 3.9 به بورس علی از صندوق</t>
  </si>
  <si>
    <t xml:space="preserve">مبلغ 69700 تومن نوسانگیری </t>
  </si>
  <si>
    <t>ریشمک</t>
  </si>
  <si>
    <t>حتاید</t>
  </si>
  <si>
    <t>فملی</t>
  </si>
  <si>
    <t>مجموع سهام حساب علی</t>
  </si>
  <si>
    <t xml:space="preserve">تعداد </t>
  </si>
  <si>
    <t>9/10/1397</t>
  </si>
  <si>
    <t>از ملت علی به مسکن 1 و2 مریم 9/10/97</t>
  </si>
  <si>
    <t>درصد</t>
  </si>
  <si>
    <t>کامل کردن برنامه نسبتی</t>
  </si>
  <si>
    <t>11/10/1397</t>
  </si>
  <si>
    <t>12/10/1397</t>
  </si>
  <si>
    <t>گوهران</t>
  </si>
  <si>
    <t>16/10/1397</t>
  </si>
  <si>
    <t>پیدا کردن سهم خشک شده</t>
  </si>
  <si>
    <t>پارسان</t>
  </si>
  <si>
    <t>17/10/1397</t>
  </si>
  <si>
    <t>پارسان 1205 تا 413 (تشویقی)</t>
  </si>
  <si>
    <t>وصنعت</t>
  </si>
  <si>
    <t>وسبحان</t>
  </si>
  <si>
    <t>13/10/1397</t>
  </si>
  <si>
    <t>15/10/1397</t>
  </si>
  <si>
    <t>دکتر</t>
  </si>
  <si>
    <t>18/10/1397</t>
  </si>
  <si>
    <t>1121-1251</t>
  </si>
  <si>
    <t>1864-1914</t>
  </si>
  <si>
    <t>وغدیر 8695 تا 190.3 (انتقالی از حساب داریوش)</t>
  </si>
  <si>
    <t>19/10/1397</t>
  </si>
  <si>
    <t>سکه9912 تعداد 30 قیمت 395600</t>
  </si>
  <si>
    <t>گوشی از دیجی کالا</t>
  </si>
  <si>
    <t>pricr</t>
  </si>
  <si>
    <t>price/NAV</t>
  </si>
  <si>
    <t>NAV</t>
  </si>
  <si>
    <t>وتوصا</t>
  </si>
  <si>
    <t>نکات</t>
  </si>
  <si>
    <t>حدود 51 درصد وصنعت برای وتوصاست</t>
  </si>
  <si>
    <t>حدود 67 درصد پارسیان برای وغدیر است</t>
  </si>
  <si>
    <t>22/10/1397</t>
  </si>
  <si>
    <t>وغدیر 13000 تا 174.9</t>
  </si>
  <si>
    <t>طلب از رضا 22/10/97</t>
  </si>
  <si>
    <t>دو به رضا و 10 مقدی</t>
  </si>
  <si>
    <t>به رضا 22/10</t>
  </si>
  <si>
    <t>دو به رضا و 10 نقد</t>
  </si>
  <si>
    <t>23/10/1397</t>
  </si>
  <si>
    <t>وغدیر 23000 تا 173</t>
  </si>
  <si>
    <t>شاراک 1 تا 4418</t>
  </si>
  <si>
    <t>1760-191.5</t>
  </si>
  <si>
    <t>وغدیر 6000 تا 171.2</t>
  </si>
  <si>
    <t>مبین</t>
  </si>
  <si>
    <t>مبین 3543 تا 749 (تشویقی)</t>
  </si>
  <si>
    <t>21/10/1397</t>
  </si>
  <si>
    <t>20/10/1397</t>
  </si>
  <si>
    <t>وغدیر 3300 تا 175 اصلاح اشتباهای قبلی</t>
  </si>
  <si>
    <t>25/10/1397</t>
  </si>
  <si>
    <t>کارشناسی سکه مریم</t>
  </si>
  <si>
    <t>وغدیر 73087 تا 172.1</t>
  </si>
  <si>
    <t>وغدیر 976 تا 172.2</t>
  </si>
  <si>
    <t>دست مریم</t>
  </si>
  <si>
    <t>29/10/1397</t>
  </si>
  <si>
    <t>ریشمک 1000 تا 1204.7</t>
  </si>
  <si>
    <t>فروش 6 عدد سکه رفاه به مبلغ 25071612 و خروج 12 میلیون تومن</t>
  </si>
  <si>
    <t xml:space="preserve">خرید از جامبو و حلوا </t>
  </si>
  <si>
    <t>خرید از جامبو از مسکن سارا</t>
  </si>
  <si>
    <t>30/10/1397</t>
  </si>
  <si>
    <t>پارس 2620 تا 3405.9</t>
  </si>
  <si>
    <t>وصندوق</t>
  </si>
  <si>
    <t>وصندوق 4648 تا 217.1</t>
  </si>
  <si>
    <t>نا معلوم</t>
  </si>
  <si>
    <t>خرید از جامبو و میوه</t>
  </si>
  <si>
    <t>خرید از جامبو و میوه و 30000 نا معلوم</t>
  </si>
  <si>
    <t>1/11/1397</t>
  </si>
  <si>
    <t>پارس 1208 تا 3322.3</t>
  </si>
  <si>
    <t>زاگرس 2400 تا 5249.9</t>
  </si>
  <si>
    <t>2/11/1397</t>
  </si>
  <si>
    <t>فروش 4 عدد سکه در بورس</t>
  </si>
  <si>
    <t>واریز از ملت علی</t>
  </si>
  <si>
    <t>فروش 21 عدد سکه در بورس</t>
  </si>
  <si>
    <t>زاگرس 9084 تا 5330</t>
  </si>
  <si>
    <t>شاراک 79903 تا 498.9</t>
  </si>
  <si>
    <t>پارسان 270 تا 372 (تشویقی)</t>
  </si>
  <si>
    <t>نسبت مستقیم</t>
  </si>
  <si>
    <t>نسبت معکوس</t>
  </si>
  <si>
    <t>از ملت مریم به ملت علی 2/11/97</t>
  </si>
  <si>
    <t>از ملت علی به انصار مریم 2/11/97</t>
  </si>
  <si>
    <t>سود پارسان</t>
  </si>
  <si>
    <t>فروش 9 عدد سکه</t>
  </si>
  <si>
    <t>قرض به داریوش</t>
  </si>
  <si>
    <t>خرید 2/11/97</t>
  </si>
  <si>
    <t>به داریوش 3/11/97</t>
  </si>
  <si>
    <t>3/11/1397</t>
  </si>
  <si>
    <t>به داریوش</t>
  </si>
  <si>
    <t>زاگرس 6974 تا 5393.6</t>
  </si>
  <si>
    <t>فعلی</t>
  </si>
  <si>
    <t>اختلاف</t>
  </si>
  <si>
    <t>احتیاط در خرید شاراک</t>
  </si>
  <si>
    <t>در نظر گرفتن خرید شخارک</t>
  </si>
  <si>
    <t>کل دارایی علی و مریم فعلی بدون وارد کردن پول جدید و در نظر گرفتن 3 عدد سکه دست مریم باید معادل 182 سکه باشد سکه 4.3 سرمایه 782.6 میلیون</t>
  </si>
  <si>
    <t>هدف رسیدن به 1 میلیارد سهام معادل 232.5 سکه 4.3</t>
  </si>
  <si>
    <t>سود اضافی فعلی تبدیل به سهام اصلی یا متفرقه و یا خرج نیازهای زندگی میشود (تخت، تشک، مبل، لوستر، موبایل، اسپرسو ساز، ماشین، ویلا، خونه</t>
  </si>
  <si>
    <t>4/11/1397</t>
  </si>
  <si>
    <t>6/11/1397</t>
  </si>
  <si>
    <t>زاگرس 47 تا 5315.5</t>
  </si>
  <si>
    <t>زاگرس 29 تا 5325.9</t>
  </si>
  <si>
    <t>شخارک 28 تا 3900.7</t>
  </si>
  <si>
    <t>فروش 2 عدد سکه</t>
  </si>
  <si>
    <t>متفرقه (از تشویقی خریده شود)</t>
  </si>
  <si>
    <t>7/11/1397</t>
  </si>
  <si>
    <t>از مسکن سارا</t>
  </si>
  <si>
    <t>زاگرس 1718 تا 5179.5</t>
  </si>
  <si>
    <t>خرید از کارت مسکن یاران 6/11</t>
  </si>
  <si>
    <t>از ملت علی 7/11</t>
  </si>
  <si>
    <t>خرید از کارت سارا 7/11</t>
  </si>
  <si>
    <t>بدهی علی به صندوق که به مریم منتقل شد</t>
  </si>
  <si>
    <t>قبض برق</t>
  </si>
  <si>
    <t>مبلغ کل</t>
  </si>
  <si>
    <t>کسری</t>
  </si>
  <si>
    <t>8/11/1397</t>
  </si>
  <si>
    <t>زاگرس 538 تا 4803</t>
  </si>
  <si>
    <t>شخارک 670 تا 3723</t>
  </si>
  <si>
    <t>از ملت علی 700 که 500 برای صندوق بود</t>
  </si>
  <si>
    <t>9/11/1397</t>
  </si>
  <si>
    <t>فروش 3 عدد سکه</t>
  </si>
  <si>
    <t>تعداد سکه</t>
  </si>
  <si>
    <t>دارایی علی و مریم 182 سکه، حاج خانوم  3.2 و رضا 2 سکه مجموع 187.2 سکه 8/11/1397</t>
  </si>
  <si>
    <t>هدف</t>
  </si>
  <si>
    <t>به انصار مریم 9/11/97</t>
  </si>
  <si>
    <t>تعمیر گوشی مریم</t>
  </si>
  <si>
    <t>وصندوق 852 تا 207.3</t>
  </si>
  <si>
    <t>شاراک 1096 تا 508.1</t>
  </si>
  <si>
    <t>پارس 2931 تا 3184.1</t>
  </si>
  <si>
    <t>مبین 183 تا 699.9</t>
  </si>
  <si>
    <t>پارسان 525 تا 347.5  (تشویقی)</t>
  </si>
  <si>
    <t>از پارسیان علی</t>
  </si>
  <si>
    <t>زمان مجمع</t>
  </si>
  <si>
    <t>زمان سود</t>
  </si>
  <si>
    <t>30/3/97</t>
  </si>
  <si>
    <t>20/4/97</t>
  </si>
  <si>
    <t>25/2/97</t>
  </si>
  <si>
    <t>29/2/97</t>
  </si>
  <si>
    <t>31/4/97</t>
  </si>
  <si>
    <t>31/5/97</t>
  </si>
  <si>
    <t>25/4/97</t>
  </si>
  <si>
    <t>17/4/97</t>
  </si>
  <si>
    <t>10/11/1397</t>
  </si>
  <si>
    <t>پارس 4100 تا 3180.5</t>
  </si>
  <si>
    <t>شاراک 1232 تا 503.3</t>
  </si>
  <si>
    <t>خرید از شهروند و عابربانک 10/11</t>
  </si>
  <si>
    <t>عابر بانک و خرید شهروند</t>
  </si>
  <si>
    <t>12/11/1397</t>
  </si>
  <si>
    <t>خرید 12/11 از کارت سارا</t>
  </si>
  <si>
    <t>13/11/1397</t>
  </si>
  <si>
    <t>شاراک 695 تا 502.3</t>
  </si>
  <si>
    <t>شاراک 698 تا 502.3</t>
  </si>
  <si>
    <t xml:space="preserve">طلب سارا از صندوق </t>
  </si>
  <si>
    <t>شاراک 2922 تا 502</t>
  </si>
  <si>
    <t>نسبت سکه به سهام</t>
  </si>
  <si>
    <t>مبین 1374 تا 724.8</t>
  </si>
  <si>
    <t>14/11/1397</t>
  </si>
  <si>
    <t>شاراک 9081 تا 481.7</t>
  </si>
  <si>
    <t>فروش 1 عدد سکه</t>
  </si>
  <si>
    <t>15/11/1397</t>
  </si>
  <si>
    <t>پارس 1305 تا 3115.9</t>
  </si>
  <si>
    <t>15/11/13297</t>
  </si>
  <si>
    <t>وسبحان 1148 تا 178.1 (تشویقی)</t>
  </si>
  <si>
    <t>16/11/1397</t>
  </si>
  <si>
    <t>زاگرس 5000 ، شخارک 3800، شفن 4500، وغدیر 170 ، شسپا 2750،  پارس 3130، ماکزیمم قیمت خرید 16/11/97</t>
  </si>
  <si>
    <t>سکه خرید</t>
  </si>
  <si>
    <t>سکه فروش</t>
  </si>
  <si>
    <t>دلار خرید</t>
  </si>
  <si>
    <t>دلار فروش</t>
  </si>
  <si>
    <t>17/11/1397</t>
  </si>
  <si>
    <t>خرید علی 17/11</t>
  </si>
  <si>
    <t>21/11/1397</t>
  </si>
  <si>
    <t>بدهی حاج خانوم به صندوق</t>
  </si>
  <si>
    <t>23/11/1397</t>
  </si>
  <si>
    <t>طلب از سارا 5 عدد سکه 4.393985 24/11/97</t>
  </si>
  <si>
    <t>پارس 2679 تا 3120.5</t>
  </si>
  <si>
    <t>24/11/1397</t>
  </si>
  <si>
    <t>فروش 4 عدد سکه</t>
  </si>
  <si>
    <t>ماهی 20/11</t>
  </si>
  <si>
    <t>گوشت 23/11</t>
  </si>
  <si>
    <t>جامبو 23/11</t>
  </si>
  <si>
    <t>20/11/1397</t>
  </si>
  <si>
    <t>گوشت و جامبو</t>
  </si>
  <si>
    <t>اطلب علی از صندوق که به مریم منتقل شد</t>
  </si>
  <si>
    <t>پارس 5939 تا 3112.4</t>
  </si>
  <si>
    <t>شفن 2865 تا 4500.5</t>
  </si>
  <si>
    <t>بابت گوشی به رضا حسین زاده</t>
  </si>
  <si>
    <t>27/11/1397</t>
  </si>
  <si>
    <t>مریم قرض به سارا</t>
  </si>
  <si>
    <t>مانده فروش 5 عدد سکه در بورس مریم</t>
  </si>
  <si>
    <t>مبین ، پارس کم کردن میانگین</t>
  </si>
  <si>
    <t>26/11/1397</t>
  </si>
  <si>
    <t>خرید و 200 نقد</t>
  </si>
  <si>
    <t>به کاظم 300 دادم ولی از کارت سارا 298 گرفتم</t>
  </si>
  <si>
    <t>فروش 4 عدد سکه بورس مریم</t>
  </si>
  <si>
    <t xml:space="preserve">28/11/1397 </t>
  </si>
  <si>
    <t>علی نجاتی</t>
  </si>
  <si>
    <t>پنیر</t>
  </si>
  <si>
    <t>نان و کره</t>
  </si>
  <si>
    <t>شاراک 36741 تا 486.4</t>
  </si>
  <si>
    <t>29/11/1397</t>
  </si>
  <si>
    <t>شاراک 20000 تا 476.1</t>
  </si>
  <si>
    <t>پارس 3501 تا 3095</t>
  </si>
  <si>
    <t>وغدیر 9222 تا 168.8</t>
  </si>
  <si>
    <t>شخارک 1295 تا 3859.8</t>
  </si>
  <si>
    <t>پارس 53 تا 3095.1</t>
  </si>
  <si>
    <t>شفن 48 تا 4637.1</t>
  </si>
  <si>
    <t>شخارک 255 تا 3863</t>
  </si>
  <si>
    <t>پارس 107 تا 3095.9</t>
  </si>
  <si>
    <t>فروش 5 عدد سکه بورس مریم</t>
  </si>
  <si>
    <t>30/11/1397</t>
  </si>
  <si>
    <t>پارس 1593 تا 3125</t>
  </si>
  <si>
    <t>فروش شاراک و خرید پارس</t>
  </si>
  <si>
    <t>پارس 3278 تا 3099.2</t>
  </si>
  <si>
    <t>شخارک 3462 تا 3853.3</t>
  </si>
  <si>
    <t>از کارت سارا 29/11</t>
  </si>
  <si>
    <t>نوسانگیری سکه حساب مریم 30/11</t>
  </si>
  <si>
    <t>عابر بانک</t>
  </si>
  <si>
    <t>عابربانک</t>
  </si>
  <si>
    <t>1/12/1397</t>
  </si>
  <si>
    <t>پارس 44 تا 3130</t>
  </si>
  <si>
    <t>نوسانگیری 1/12/97 حساب مریم</t>
  </si>
  <si>
    <t>خرید از کارت سارا 3/12</t>
  </si>
  <si>
    <t>3/12/1397</t>
  </si>
  <si>
    <t>خرید پارس یا شاراک ، پردیس (بررسی بیشتر) با توجه به سبد محصول و فروش داخلی و خارجی 05/12/97</t>
  </si>
  <si>
    <t>وسپه</t>
  </si>
  <si>
    <t>4/12/1397</t>
  </si>
  <si>
    <t>علی پارسیان</t>
  </si>
  <si>
    <t>5/12/1397</t>
  </si>
  <si>
    <t>فروش 17 عدد سکه بورس مریم</t>
  </si>
  <si>
    <t>نان و خامه</t>
  </si>
  <si>
    <t>سهم امیر از تسویه تیرگر</t>
  </si>
  <si>
    <t>شخارک 15161 تا 4176.3</t>
  </si>
  <si>
    <t>شاراک 29379 تا 525.1</t>
  </si>
  <si>
    <t>پارس 1011 تا 3324.8</t>
  </si>
  <si>
    <t>از ملت مریم به ملت علی 5/12</t>
  </si>
  <si>
    <t>سهم علی انبارداری سکه های فروخته شده  4/12/97</t>
  </si>
  <si>
    <t>فروش 15 عدد سکه بورس مریم</t>
  </si>
  <si>
    <t>6/12/1397</t>
  </si>
  <si>
    <t>ارزش پرتفوی علی</t>
  </si>
  <si>
    <t>ارزش پرتفوی مریم</t>
  </si>
  <si>
    <t>رشد علی</t>
  </si>
  <si>
    <t>رشد مریم</t>
  </si>
  <si>
    <t>شاراک 57632 تا 529.8</t>
  </si>
  <si>
    <t>زاگرس 1000 تا 5395.9</t>
  </si>
  <si>
    <t>پارس 11431 تا 3355.8</t>
  </si>
  <si>
    <t>سهم علی انبارداری سکه های فروخته شده  5/12</t>
  </si>
  <si>
    <t>تعداد سکه باقیمانده (3 تا دست مریم، 5 تا دست سارا،  16 تا بورس علی)</t>
  </si>
  <si>
    <t>7/12/1397</t>
  </si>
  <si>
    <t>خرید با اعتبار 50 میلیونی کارگزاری</t>
  </si>
  <si>
    <t>ارزش</t>
  </si>
  <si>
    <t>اعتبار از کارگزاری</t>
  </si>
  <si>
    <t>پارس 3761 تا 3307.5</t>
  </si>
  <si>
    <t>زاگرس 4683 تا 5249.5</t>
  </si>
  <si>
    <t>شخارک 130 تا 4051</t>
  </si>
  <si>
    <t>بدهی به کارگزاری</t>
  </si>
  <si>
    <t>علی (اعتبار کارگزاری)</t>
  </si>
  <si>
    <t>علی (نوسانگیری شخارک)</t>
  </si>
  <si>
    <t>از کارت مسکن سید الشهدا مریم 7/12/97</t>
  </si>
  <si>
    <t>مبلغ 50 میلیون تومن اعتبار</t>
  </si>
  <si>
    <t>8/12/1397</t>
  </si>
  <si>
    <t>علی از عابربانک و بستنی</t>
  </si>
  <si>
    <t>رشد کل</t>
  </si>
  <si>
    <t>قسط انصار مریم 8/12</t>
  </si>
  <si>
    <t>بدهی وام انصار 6 قسط 8/12/1397</t>
  </si>
  <si>
    <t>بدهی وام بانک ملی 5 قسط 8/12/97</t>
  </si>
  <si>
    <t>بدهی وام بانک ملی 6 قسط 4/12/97</t>
  </si>
  <si>
    <t>از ملت علی 8/12 به کارت سارا</t>
  </si>
  <si>
    <t>انتقال بدهی علی به صندوق به مریم 8/12/97</t>
  </si>
  <si>
    <t>خرید و 200 عابر و 1.6 به رضا بابت گوشی</t>
  </si>
  <si>
    <t>قبض موبایل مریم</t>
  </si>
  <si>
    <t>9/12/1397</t>
  </si>
  <si>
    <t>شارژ بلوک</t>
  </si>
  <si>
    <t>شارژ بلوک پاییز و زمستان 97</t>
  </si>
  <si>
    <t>رستوران شبهای تهران</t>
  </si>
  <si>
    <t>10/12/1397</t>
  </si>
  <si>
    <t>11/12/1397</t>
  </si>
  <si>
    <t>به حاجی زاده بابت نظافت</t>
  </si>
  <si>
    <t>پوشک 11/12</t>
  </si>
  <si>
    <t>نوسانگیری 11/12/97</t>
  </si>
  <si>
    <t>12/12/1397</t>
  </si>
  <si>
    <t>13/12/1397</t>
  </si>
  <si>
    <t>نوسانگیری 12/12/97</t>
  </si>
  <si>
    <t>24/4/97</t>
  </si>
  <si>
    <t>22/12/97</t>
  </si>
  <si>
    <t>26/12/97</t>
  </si>
  <si>
    <t>شاراک 12060 تا 489</t>
  </si>
  <si>
    <t>واریز مریم</t>
  </si>
  <si>
    <t>علی از کارت سارا 13/12/97</t>
  </si>
  <si>
    <t>مخفی کاری و دروغگویی در مورد کارت رفاهی</t>
  </si>
  <si>
    <t>فحاشی، تنبلی، تن پروری، عدم توجه به نگهداری ایلیا، گذاشتن دو جفت کفش روی جا کفشی و خود را به نفهمی زدن.</t>
  </si>
  <si>
    <t>نوسانگیری 13/12/97</t>
  </si>
  <si>
    <t>14/12/1397</t>
  </si>
  <si>
    <t>شاراک 285 تا 537.2</t>
  </si>
  <si>
    <t>ضرر ده</t>
  </si>
  <si>
    <t>نوسانگیری 14/12/1397</t>
  </si>
  <si>
    <t>15/12/1397</t>
  </si>
  <si>
    <t>وبانک 6168 تا 296.6</t>
  </si>
  <si>
    <t>وغدیر 64400 تا 171.8</t>
  </si>
  <si>
    <t>سهم علی از انبارداری سکه 14/12/97</t>
  </si>
  <si>
    <t>از کارت سارا به بورس مهدی</t>
  </si>
  <si>
    <t>به بورس مهدی</t>
  </si>
  <si>
    <t>جمع کل 193 تا آخر 1397</t>
  </si>
  <si>
    <t>نوسانگیری 15/12/97</t>
  </si>
  <si>
    <t>غذا از رستوران به خواسته مریم</t>
  </si>
  <si>
    <t>تعداد 13 عدد سکه در بورس علی متعلق به صندوق نیست 16/12/97</t>
  </si>
  <si>
    <t>وصنا</t>
  </si>
  <si>
    <t>ونیکی</t>
  </si>
  <si>
    <t>وبهمن</t>
  </si>
  <si>
    <t>16/12/1397</t>
  </si>
  <si>
    <t xml:space="preserve">تعداد 66557 عدد سهام وغدیر </t>
  </si>
  <si>
    <t xml:space="preserve">مریم بدهی به رضا </t>
  </si>
  <si>
    <t>علی طلب از رضا</t>
  </si>
  <si>
    <t>تاریخ 16/12/97 تعداد 16216 تا سهم وغدیر را 185 تومن از رضا بابت بدهی 3 میلیون تومنی 27/8/97 گرفتم</t>
  </si>
  <si>
    <t>به بورس علی از پول صندوق</t>
  </si>
  <si>
    <t>انبارداری سکه 15/12/97</t>
  </si>
  <si>
    <t>وبانک 351 تا 295</t>
  </si>
  <si>
    <t>14/12/97</t>
  </si>
  <si>
    <t>از کارت سارا 18/12</t>
  </si>
  <si>
    <t>دویست عابر و 550 به کارت کاظم و 40 مریم</t>
  </si>
  <si>
    <t>دویست عابر و 550 کاظم بابت پرده و 40 مریم</t>
  </si>
  <si>
    <t>تسمه دینام</t>
  </si>
  <si>
    <t>19/12/1397</t>
  </si>
  <si>
    <t>زاگرس 1030 تا 5235</t>
  </si>
  <si>
    <t>19/12/1397 11:05</t>
  </si>
  <si>
    <t>نوسانگیری 19/12/97</t>
  </si>
  <si>
    <t>20/12/1397</t>
  </si>
  <si>
    <t>تناسبگیری زاگرس و شخارک 19/12 و 20/12</t>
  </si>
  <si>
    <t>زاگرس 2031 تا 5355.4</t>
  </si>
  <si>
    <t>21/12/1397</t>
  </si>
  <si>
    <t>وبانک 478 تا 304.9</t>
  </si>
  <si>
    <t>از ملت علی به بورس علی</t>
  </si>
  <si>
    <t>سود وغدیر</t>
  </si>
  <si>
    <t>زاگرس - شخارک</t>
  </si>
  <si>
    <t>تعادلی</t>
  </si>
  <si>
    <t>تبدل زاگرس به شخارک</t>
  </si>
  <si>
    <t>تبدیل شخارک به زاگرس</t>
  </si>
  <si>
    <t>طلب علی از صندوق</t>
  </si>
  <si>
    <t>22/12/1397</t>
  </si>
  <si>
    <t>تنوین</t>
  </si>
  <si>
    <t xml:space="preserve"> تنوین</t>
  </si>
  <si>
    <t>تنوین 1998 تا 220</t>
  </si>
  <si>
    <t>سود غدیر</t>
  </si>
  <si>
    <t>سهم رضا</t>
  </si>
  <si>
    <t>سهم خالص مریم</t>
  </si>
  <si>
    <t>سهم خالص علی</t>
  </si>
  <si>
    <t>سهم حاج خانوم</t>
  </si>
  <si>
    <t>تاریخ 22/12/1397 سود هر سهم 25 تومن که از بدهی 2 میلیونی مورخ 22/10/97 کم میشود. مانده بدهی رضا 336075 تومن</t>
  </si>
  <si>
    <t>داریوش واریز کرد</t>
  </si>
  <si>
    <t>از طرف علی به کارت سارا</t>
  </si>
  <si>
    <t>23/12/1397</t>
  </si>
  <si>
    <t>پردیس 112</t>
  </si>
  <si>
    <t>وتوسم 145</t>
  </si>
  <si>
    <t>وبانک 310</t>
  </si>
  <si>
    <t>بکهنوج 620</t>
  </si>
  <si>
    <t>وغدیر 165</t>
  </si>
  <si>
    <t>پارس 3300 شخارک  4100</t>
  </si>
  <si>
    <t>زاگرس 5250 چون برج 2 مجمع دارد</t>
  </si>
  <si>
    <t>شسپا 2800</t>
  </si>
  <si>
    <t>خرید از کارت سارا23/12/97</t>
  </si>
  <si>
    <t>24/12/1397</t>
  </si>
  <si>
    <t>25/12/1397</t>
  </si>
  <si>
    <t>افزایش سهم علی در صندوق 25/12</t>
  </si>
  <si>
    <t>شخارک 244 تا 4155.3</t>
  </si>
  <si>
    <t>پردیس 8808 تا 113.1</t>
  </si>
  <si>
    <t>ومعلم</t>
  </si>
  <si>
    <t>ومعلم 229 تا 270</t>
  </si>
  <si>
    <t>از ملت علی 25/12 به کارت سارا</t>
  </si>
  <si>
    <t>واریز 2 میلیون حساب مریم و 2.25 به حساب علی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</si>
</sst>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  <font>
      <sz val="10"/>
      <color rgb="FF333333"/>
      <name val="Segoe UI Semibold"/>
      <family val="2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48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0" fillId="0" borderId="0" xfId="0" applyFont="1"/>
    <xf numFmtId="0" fontId="0" fillId="0" borderId="5" xfId="0" applyBorder="1"/>
    <xf numFmtId="0" fontId="0" fillId="11" borderId="1" xfId="0" applyFill="1" applyBorder="1"/>
    <xf numFmtId="0" fontId="11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12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Border="1"/>
    <xf numFmtId="164" fontId="0" fillId="0" borderId="1" xfId="0" applyNumberFormat="1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16" borderId="1" xfId="0" applyFill="1" applyBorder="1" applyAlignment="1">
      <alignment wrapText="1"/>
    </xf>
    <xf numFmtId="0" fontId="0" fillId="2" borderId="0" xfId="0" applyFill="1" applyBorder="1" applyAlignment="1">
      <alignment wrapText="1"/>
    </xf>
    <xf numFmtId="14" fontId="0" fillId="0" borderId="0" xfId="0" applyNumberFormat="1"/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4" borderId="0" xfId="0" applyFill="1" applyAlignment="1">
      <alignment wrapText="1"/>
    </xf>
    <xf numFmtId="0" fontId="0" fillId="0" borderId="1" xfId="0" applyBorder="1" applyAlignment="1">
      <alignment horizontal="center"/>
    </xf>
    <xf numFmtId="0" fontId="0" fillId="32" borderId="1" xfId="0" applyFill="1" applyBorder="1" applyAlignment="1">
      <alignment horizontal="center" vertical="center"/>
    </xf>
    <xf numFmtId="164" fontId="0" fillId="32" borderId="1" xfId="0" applyNumberFormat="1" applyFill="1" applyBorder="1" applyAlignment="1">
      <alignment horizontal="center" vertical="center"/>
    </xf>
    <xf numFmtId="0" fontId="0" fillId="26" borderId="1" xfId="0" applyFill="1" applyBorder="1" applyAlignment="1">
      <alignment horizontal="center"/>
    </xf>
    <xf numFmtId="2" fontId="0" fillId="0" borderId="0" xfId="0" applyNumberFormat="1" applyBorder="1"/>
    <xf numFmtId="0" fontId="0" fillId="2" borderId="1" xfId="0" applyFill="1" applyBorder="1" applyAlignment="1">
      <alignment horizontal="center" wrapText="1"/>
    </xf>
    <xf numFmtId="0" fontId="0" fillId="27" borderId="1" xfId="0" applyFill="1" applyBorder="1" applyAlignment="1">
      <alignment horizontal="center"/>
    </xf>
    <xf numFmtId="164" fontId="0" fillId="27" borderId="1" xfId="0" applyNumberFormat="1" applyFill="1" applyBorder="1" applyAlignment="1">
      <alignment horizontal="center"/>
    </xf>
    <xf numFmtId="0" fontId="0" fillId="27" borderId="1" xfId="0" applyFill="1" applyBorder="1"/>
    <xf numFmtId="0" fontId="0" fillId="16" borderId="1" xfId="0" applyFill="1" applyBorder="1" applyAlignment="1">
      <alignment horizontal="center"/>
    </xf>
    <xf numFmtId="3" fontId="13" fillId="0" borderId="0" xfId="0" applyNumberFormat="1" applyFont="1" applyAlignment="1">
      <alignment horizontal="right" vertical="center" indent="1"/>
    </xf>
    <xf numFmtId="164" fontId="0" fillId="2" borderId="1" xfId="0" applyNumberFormat="1" applyFill="1" applyBorder="1"/>
    <xf numFmtId="0" fontId="0" fillId="35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6" borderId="1" xfId="0" applyFill="1" applyBorder="1" applyAlignment="1">
      <alignment horizontal="center"/>
    </xf>
    <xf numFmtId="164" fontId="0" fillId="28" borderId="1" xfId="0" applyNumberFormat="1" applyFill="1" applyBorder="1" applyAlignment="1">
      <alignment horizontal="center"/>
    </xf>
    <xf numFmtId="14" fontId="0" fillId="32" borderId="1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0" fontId="0" fillId="28" borderId="1" xfId="0" applyFill="1" applyBorder="1" applyAlignment="1">
      <alignment horizontal="center"/>
    </xf>
    <xf numFmtId="0" fontId="0" fillId="37" borderId="1" xfId="0" applyFill="1" applyBorder="1" applyAlignment="1">
      <alignment horizontal="center"/>
    </xf>
    <xf numFmtId="164" fontId="0" fillId="37" borderId="1" xfId="0" applyNumberFormat="1" applyFill="1" applyBorder="1" applyAlignment="1">
      <alignment horizontal="center"/>
    </xf>
    <xf numFmtId="0" fontId="0" fillId="37" borderId="1" xfId="0" applyFill="1" applyBorder="1"/>
    <xf numFmtId="164" fontId="1" fillId="2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164" fontId="0" fillId="18" borderId="5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wrapText="1"/>
    </xf>
  </cellXfs>
  <cellStyles count="4">
    <cellStyle name="Hyperlink" xfId="1" builtinId="8"/>
    <cellStyle name="Normal" xfId="0" builtinId="0"/>
    <cellStyle name="Normal 2" xfId="3"/>
    <cellStyle name="Normal 3" xfId="2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5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5" t="s">
        <v>4250</v>
      </c>
      <c r="B1" t="s">
        <v>4251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opLeftCell="A28" workbookViewId="0">
      <selection activeCell="C45" sqref="C45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722</v>
      </c>
      <c r="F2" s="99">
        <f t="shared" ref="F2:F49" si="0">IF(B2&gt;0,1,0)</f>
        <v>1</v>
      </c>
      <c r="G2" s="99">
        <f>B2*(E2-F2)</f>
        <v>36050000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716</v>
      </c>
      <c r="F3" s="99">
        <f t="shared" si="0"/>
        <v>1</v>
      </c>
      <c r="G3" s="99">
        <f t="shared" ref="G3:G50" si="2">B3*(E3-F3)</f>
        <v>10725000000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714</v>
      </c>
      <c r="F4" s="99">
        <f t="shared" si="0"/>
        <v>0</v>
      </c>
      <c r="G4" s="99">
        <f t="shared" si="2"/>
        <v>-2142000000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713</v>
      </c>
      <c r="F5" s="99">
        <f t="shared" si="0"/>
        <v>0</v>
      </c>
      <c r="G5" s="99">
        <f t="shared" si="2"/>
        <v>-2282241700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711</v>
      </c>
      <c r="F6" s="99">
        <f t="shared" si="0"/>
        <v>0</v>
      </c>
      <c r="G6" s="99">
        <f>B6*(E6-F6)</f>
        <v>-2133639900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709</v>
      </c>
      <c r="F7" s="99">
        <f t="shared" si="0"/>
        <v>0</v>
      </c>
      <c r="G7" s="99">
        <f t="shared" si="2"/>
        <v>-4116383100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687</v>
      </c>
      <c r="F8" s="99">
        <f t="shared" si="0"/>
        <v>1</v>
      </c>
      <c r="G8" s="99">
        <f t="shared" si="2"/>
        <v>37330062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415</v>
      </c>
      <c r="F9" s="99">
        <f t="shared" si="0"/>
        <v>0</v>
      </c>
      <c r="G9" s="99">
        <f>B9*(E9-F9)</f>
        <v>-33200000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350</v>
      </c>
      <c r="F10" s="99">
        <f t="shared" si="0"/>
        <v>1</v>
      </c>
      <c r="G10" s="99">
        <f t="shared" si="2"/>
        <v>296650000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336</v>
      </c>
      <c r="F11" s="99">
        <f t="shared" si="0"/>
        <v>0</v>
      </c>
      <c r="G11" s="99">
        <f t="shared" si="2"/>
        <v>-235200000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330</v>
      </c>
      <c r="F12" s="99">
        <f t="shared" si="0"/>
        <v>1</v>
      </c>
      <c r="G12" s="99">
        <f t="shared" si="2"/>
        <v>329000000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322</v>
      </c>
      <c r="F13" s="99">
        <f t="shared" si="0"/>
        <v>1</v>
      </c>
      <c r="G13" s="99">
        <f t="shared" si="2"/>
        <v>1559097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321</v>
      </c>
      <c r="F14" s="99">
        <f t="shared" si="0"/>
        <v>0</v>
      </c>
      <c r="G14" s="99">
        <f t="shared" si="2"/>
        <v>-61311000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306</v>
      </c>
      <c r="F15" s="99">
        <f t="shared" si="0"/>
        <v>0</v>
      </c>
      <c r="G15" s="99">
        <f t="shared" si="2"/>
        <v>-61200000</v>
      </c>
    </row>
    <row r="16" spans="1:7">
      <c r="A16" s="99" t="s">
        <v>1163</v>
      </c>
      <c r="B16" s="113">
        <v>-694356</v>
      </c>
      <c r="C16" s="99" t="s">
        <v>1164</v>
      </c>
      <c r="D16" s="99">
        <v>7</v>
      </c>
      <c r="E16" s="99">
        <f t="shared" si="1"/>
        <v>290</v>
      </c>
      <c r="F16" s="99">
        <f t="shared" si="0"/>
        <v>0</v>
      </c>
      <c r="G16" s="99">
        <f t="shared" si="2"/>
        <v>-201363240</v>
      </c>
    </row>
    <row r="17" spans="1:7">
      <c r="A17" s="99" t="s">
        <v>1175</v>
      </c>
      <c r="B17" s="113">
        <v>50000</v>
      </c>
      <c r="C17" s="99" t="s">
        <v>1189</v>
      </c>
      <c r="D17" s="99">
        <v>23</v>
      </c>
      <c r="E17" s="99">
        <f t="shared" si="1"/>
        <v>283</v>
      </c>
      <c r="F17" s="99">
        <f t="shared" si="0"/>
        <v>1</v>
      </c>
      <c r="G17" s="99">
        <f t="shared" si="2"/>
        <v>14100000</v>
      </c>
    </row>
    <row r="18" spans="1:7">
      <c r="A18" s="99" t="s">
        <v>3672</v>
      </c>
      <c r="B18" s="113">
        <v>1047</v>
      </c>
      <c r="C18" s="99" t="s">
        <v>3675</v>
      </c>
      <c r="D18" s="99">
        <v>8</v>
      </c>
      <c r="E18" s="99">
        <f>E19+D18</f>
        <v>260</v>
      </c>
      <c r="F18" s="99">
        <f t="shared" si="0"/>
        <v>1</v>
      </c>
      <c r="G18" s="99">
        <f t="shared" si="2"/>
        <v>271173</v>
      </c>
    </row>
    <row r="19" spans="1:7">
      <c r="A19" s="99" t="s">
        <v>3708</v>
      </c>
      <c r="B19" s="113">
        <v>785500</v>
      </c>
      <c r="C19" s="99" t="s">
        <v>3712</v>
      </c>
      <c r="D19" s="99">
        <v>1</v>
      </c>
      <c r="E19" s="99">
        <f t="shared" si="1"/>
        <v>252</v>
      </c>
      <c r="F19" s="99">
        <f t="shared" si="0"/>
        <v>1</v>
      </c>
      <c r="G19" s="99">
        <f t="shared" si="2"/>
        <v>197160500</v>
      </c>
    </row>
    <row r="20" spans="1:7">
      <c r="A20" s="99" t="s">
        <v>3804</v>
      </c>
      <c r="B20" s="113">
        <v>-57500</v>
      </c>
      <c r="C20" s="99" t="s">
        <v>1019</v>
      </c>
      <c r="D20" s="99">
        <v>0</v>
      </c>
      <c r="E20" s="99">
        <f>E21+D20</f>
        <v>251</v>
      </c>
      <c r="F20" s="99">
        <f t="shared" si="0"/>
        <v>0</v>
      </c>
      <c r="G20" s="99">
        <f t="shared" si="2"/>
        <v>-14432500</v>
      </c>
    </row>
    <row r="21" spans="1:7">
      <c r="A21" s="99" t="s">
        <v>3804</v>
      </c>
      <c r="B21" s="113">
        <v>6099</v>
      </c>
      <c r="C21" s="99" t="s">
        <v>585</v>
      </c>
      <c r="D21" s="99">
        <v>10</v>
      </c>
      <c r="E21" s="99">
        <f t="shared" ref="E21:E31" si="3">E22+D21</f>
        <v>251</v>
      </c>
      <c r="F21" s="99">
        <f t="shared" si="0"/>
        <v>1</v>
      </c>
      <c r="G21" s="99">
        <f t="shared" si="2"/>
        <v>1524750</v>
      </c>
    </row>
    <row r="22" spans="1:7">
      <c r="A22" s="99" t="s">
        <v>3916</v>
      </c>
      <c r="B22" s="113">
        <v>-85000</v>
      </c>
      <c r="C22" s="99" t="s">
        <v>3927</v>
      </c>
      <c r="D22" s="99">
        <v>4</v>
      </c>
      <c r="E22" s="99">
        <f t="shared" si="3"/>
        <v>241</v>
      </c>
      <c r="F22" s="99">
        <f t="shared" si="0"/>
        <v>0</v>
      </c>
      <c r="G22" s="99">
        <f t="shared" si="2"/>
        <v>-20485000</v>
      </c>
    </row>
    <row r="23" spans="1:7">
      <c r="A23" s="69" t="s">
        <v>3895</v>
      </c>
      <c r="B23" s="113">
        <v>-180000</v>
      </c>
      <c r="C23" s="99" t="s">
        <v>3927</v>
      </c>
      <c r="D23" s="99">
        <v>0</v>
      </c>
      <c r="E23" s="99">
        <f t="shared" si="3"/>
        <v>237</v>
      </c>
      <c r="F23" s="99">
        <f t="shared" si="0"/>
        <v>0</v>
      </c>
      <c r="G23" s="99">
        <f t="shared" si="2"/>
        <v>-42660000</v>
      </c>
    </row>
    <row r="24" spans="1:7">
      <c r="A24" s="69" t="s">
        <v>3895</v>
      </c>
      <c r="B24" s="113">
        <v>-69000</v>
      </c>
      <c r="C24" s="99" t="s">
        <v>3927</v>
      </c>
      <c r="D24" s="99">
        <v>6</v>
      </c>
      <c r="E24" s="99">
        <f t="shared" si="3"/>
        <v>237</v>
      </c>
      <c r="F24" s="99">
        <f t="shared" si="0"/>
        <v>0</v>
      </c>
      <c r="G24" s="99">
        <f t="shared" si="2"/>
        <v>-16353000</v>
      </c>
    </row>
    <row r="25" spans="1:7">
      <c r="A25" s="69" t="s">
        <v>3912</v>
      </c>
      <c r="B25" s="113">
        <v>-8600</v>
      </c>
      <c r="C25" s="99" t="s">
        <v>3927</v>
      </c>
      <c r="D25" s="99">
        <v>0</v>
      </c>
      <c r="E25" s="99">
        <f t="shared" si="3"/>
        <v>231</v>
      </c>
      <c r="F25" s="99">
        <f t="shared" si="0"/>
        <v>0</v>
      </c>
      <c r="G25" s="99">
        <f t="shared" si="2"/>
        <v>-1986600</v>
      </c>
    </row>
    <row r="26" spans="1:7">
      <c r="A26" s="99" t="s">
        <v>3912</v>
      </c>
      <c r="B26" s="113">
        <v>-40000</v>
      </c>
      <c r="C26" s="99" t="s">
        <v>3927</v>
      </c>
      <c r="D26" s="99">
        <v>0</v>
      </c>
      <c r="E26" s="99">
        <f t="shared" si="3"/>
        <v>231</v>
      </c>
      <c r="F26" s="99">
        <f t="shared" si="0"/>
        <v>0</v>
      </c>
      <c r="G26" s="99">
        <f t="shared" si="2"/>
        <v>-9240000</v>
      </c>
    </row>
    <row r="27" spans="1:7">
      <c r="A27" s="99" t="s">
        <v>3912</v>
      </c>
      <c r="B27" s="113">
        <v>-92500</v>
      </c>
      <c r="C27" s="99" t="s">
        <v>3927</v>
      </c>
      <c r="D27" s="99">
        <v>0</v>
      </c>
      <c r="E27" s="99">
        <f t="shared" si="3"/>
        <v>231</v>
      </c>
      <c r="F27" s="99">
        <f t="shared" si="0"/>
        <v>0</v>
      </c>
      <c r="G27" s="99">
        <f t="shared" si="2"/>
        <v>-21367500</v>
      </c>
    </row>
    <row r="28" spans="1:7">
      <c r="A28" s="99" t="s">
        <v>3912</v>
      </c>
      <c r="B28" s="113">
        <v>-47000</v>
      </c>
      <c r="C28" s="99" t="s">
        <v>3927</v>
      </c>
      <c r="D28" s="99">
        <v>1</v>
      </c>
      <c r="E28" s="99">
        <f t="shared" si="3"/>
        <v>231</v>
      </c>
      <c r="F28" s="99">
        <f t="shared" si="0"/>
        <v>0</v>
      </c>
      <c r="G28" s="99">
        <f t="shared" si="2"/>
        <v>-10857000</v>
      </c>
    </row>
    <row r="29" spans="1:7">
      <c r="A29" s="99" t="s">
        <v>3917</v>
      </c>
      <c r="B29" s="113">
        <v>-77500</v>
      </c>
      <c r="C29" s="99" t="s">
        <v>3927</v>
      </c>
      <c r="D29" s="99">
        <v>0</v>
      </c>
      <c r="E29" s="99">
        <f t="shared" si="3"/>
        <v>230</v>
      </c>
      <c r="F29" s="99">
        <f t="shared" si="0"/>
        <v>0</v>
      </c>
      <c r="G29" s="99">
        <f t="shared" si="2"/>
        <v>-17825000</v>
      </c>
    </row>
    <row r="30" spans="1:7">
      <c r="A30" s="99" t="s">
        <v>3917</v>
      </c>
      <c r="B30" s="113">
        <v>-57000</v>
      </c>
      <c r="C30" s="99" t="s">
        <v>3927</v>
      </c>
      <c r="D30" s="99">
        <v>0</v>
      </c>
      <c r="E30" s="99">
        <f t="shared" si="3"/>
        <v>230</v>
      </c>
      <c r="F30" s="99">
        <f t="shared" si="0"/>
        <v>0</v>
      </c>
      <c r="G30" s="99">
        <f t="shared" si="2"/>
        <v>-13110000</v>
      </c>
    </row>
    <row r="31" spans="1:7">
      <c r="A31" s="99" t="s">
        <v>3917</v>
      </c>
      <c r="B31" s="113">
        <v>-45000</v>
      </c>
      <c r="C31" s="99" t="s">
        <v>3927</v>
      </c>
      <c r="D31" s="99">
        <v>0</v>
      </c>
      <c r="E31" s="99">
        <f t="shared" si="3"/>
        <v>230</v>
      </c>
      <c r="F31" s="99">
        <f t="shared" si="0"/>
        <v>0</v>
      </c>
      <c r="G31" s="99">
        <f t="shared" si="2"/>
        <v>-10350000</v>
      </c>
    </row>
    <row r="32" spans="1:7">
      <c r="A32" s="99" t="s">
        <v>3917</v>
      </c>
      <c r="B32" s="113">
        <v>-30000</v>
      </c>
      <c r="C32" s="99" t="s">
        <v>3927</v>
      </c>
      <c r="D32" s="99">
        <v>3</v>
      </c>
      <c r="E32" s="99">
        <f>E33+D32</f>
        <v>230</v>
      </c>
      <c r="F32" s="99">
        <f t="shared" si="0"/>
        <v>0</v>
      </c>
      <c r="G32" s="99">
        <f t="shared" si="2"/>
        <v>-6900000</v>
      </c>
    </row>
    <row r="33" spans="1:12">
      <c r="A33" s="99" t="s">
        <v>3926</v>
      </c>
      <c r="B33" s="113">
        <v>1000000</v>
      </c>
      <c r="C33" s="99" t="s">
        <v>3891</v>
      </c>
      <c r="D33" s="99">
        <v>1</v>
      </c>
      <c r="E33" s="99">
        <f>E34+D33</f>
        <v>227</v>
      </c>
      <c r="F33" s="99">
        <f t="shared" si="0"/>
        <v>1</v>
      </c>
      <c r="G33" s="99">
        <f t="shared" si="2"/>
        <v>226000000</v>
      </c>
    </row>
    <row r="34" spans="1:12">
      <c r="A34" s="99" t="s">
        <v>3931</v>
      </c>
      <c r="B34" s="113">
        <v>-79700</v>
      </c>
      <c r="C34" s="99" t="s">
        <v>3927</v>
      </c>
      <c r="D34" s="99">
        <v>7</v>
      </c>
      <c r="E34" s="99">
        <f t="shared" ref="E34:E39" si="4">E35+D34</f>
        <v>226</v>
      </c>
      <c r="F34" s="99">
        <f t="shared" si="0"/>
        <v>0</v>
      </c>
      <c r="G34" s="99">
        <f t="shared" si="2"/>
        <v>-18012200</v>
      </c>
    </row>
    <row r="35" spans="1:12">
      <c r="A35" s="99" t="s">
        <v>4024</v>
      </c>
      <c r="B35" s="113">
        <v>-1187</v>
      </c>
      <c r="C35" s="99" t="s">
        <v>3927</v>
      </c>
      <c r="D35" s="99">
        <v>5</v>
      </c>
      <c r="E35" s="99">
        <f t="shared" si="4"/>
        <v>219</v>
      </c>
      <c r="F35" s="99">
        <f t="shared" si="0"/>
        <v>0</v>
      </c>
      <c r="G35" s="99">
        <f t="shared" si="2"/>
        <v>-259953</v>
      </c>
    </row>
    <row r="36" spans="1:12">
      <c r="A36" s="99" t="s">
        <v>3967</v>
      </c>
      <c r="B36" s="113">
        <v>-55262</v>
      </c>
      <c r="C36" s="99" t="s">
        <v>3927</v>
      </c>
      <c r="D36" s="99">
        <v>1</v>
      </c>
      <c r="E36" s="99">
        <f t="shared" si="4"/>
        <v>214</v>
      </c>
      <c r="F36" s="99">
        <f t="shared" si="0"/>
        <v>0</v>
      </c>
      <c r="G36" s="99">
        <f t="shared" si="2"/>
        <v>-11826068</v>
      </c>
    </row>
    <row r="37" spans="1:12">
      <c r="A37" s="99" t="s">
        <v>3969</v>
      </c>
      <c r="B37" s="113">
        <v>-15700</v>
      </c>
      <c r="C37" s="99" t="s">
        <v>3927</v>
      </c>
      <c r="D37" s="99">
        <v>7</v>
      </c>
      <c r="E37" s="99">
        <f t="shared" si="4"/>
        <v>213</v>
      </c>
      <c r="F37" s="99">
        <f t="shared" si="0"/>
        <v>0</v>
      </c>
      <c r="G37" s="99">
        <f t="shared" si="2"/>
        <v>-3344100</v>
      </c>
    </row>
    <row r="38" spans="1:12">
      <c r="A38" s="99" t="s">
        <v>4025</v>
      </c>
      <c r="B38" s="113">
        <v>-176000</v>
      </c>
      <c r="C38" s="99" t="s">
        <v>3927</v>
      </c>
      <c r="D38" s="99">
        <v>1</v>
      </c>
      <c r="E38" s="99">
        <f>E39+D38</f>
        <v>206</v>
      </c>
      <c r="F38" s="99">
        <f t="shared" si="0"/>
        <v>0</v>
      </c>
      <c r="G38" s="99">
        <f t="shared" si="2"/>
        <v>-36256000</v>
      </c>
    </row>
    <row r="39" spans="1:12">
      <c r="A39" s="99" t="s">
        <v>3991</v>
      </c>
      <c r="B39" s="113">
        <v>-68600</v>
      </c>
      <c r="C39" s="99" t="s">
        <v>3927</v>
      </c>
      <c r="D39" s="99">
        <v>7</v>
      </c>
      <c r="E39" s="99">
        <f t="shared" si="4"/>
        <v>205</v>
      </c>
      <c r="F39" s="99">
        <f t="shared" si="0"/>
        <v>0</v>
      </c>
      <c r="G39" s="99">
        <f t="shared" si="2"/>
        <v>-14063000</v>
      </c>
    </row>
    <row r="40" spans="1:12">
      <c r="A40" s="99" t="s">
        <v>4023</v>
      </c>
      <c r="B40" s="113">
        <v>-3540</v>
      </c>
      <c r="C40" s="99" t="s">
        <v>3927</v>
      </c>
      <c r="D40" s="99">
        <v>4</v>
      </c>
      <c r="E40" s="99">
        <f>E41+D40</f>
        <v>198</v>
      </c>
      <c r="F40" s="99">
        <f t="shared" si="0"/>
        <v>0</v>
      </c>
      <c r="G40" s="99">
        <f t="shared" si="2"/>
        <v>-700920</v>
      </c>
      <c r="J40" t="s">
        <v>25</v>
      </c>
    </row>
    <row r="41" spans="1:12">
      <c r="A41" s="99" t="s">
        <v>4021</v>
      </c>
      <c r="B41" s="113">
        <v>-315101</v>
      </c>
      <c r="C41" s="99" t="s">
        <v>4022</v>
      </c>
      <c r="D41" s="99">
        <v>2</v>
      </c>
      <c r="E41" s="99">
        <f t="shared" ref="E41:E50" si="5">E42+D41</f>
        <v>194</v>
      </c>
      <c r="F41" s="99">
        <f t="shared" si="0"/>
        <v>0</v>
      </c>
      <c r="G41" s="99">
        <f t="shared" si="2"/>
        <v>-61129594</v>
      </c>
    </row>
    <row r="42" spans="1:12">
      <c r="A42" s="99" t="s">
        <v>3687</v>
      </c>
      <c r="B42" s="113">
        <v>-416000</v>
      </c>
      <c r="C42" s="99" t="s">
        <v>4031</v>
      </c>
      <c r="D42" s="99">
        <v>133</v>
      </c>
      <c r="E42" s="99">
        <f t="shared" si="5"/>
        <v>192</v>
      </c>
      <c r="F42" s="99">
        <f t="shared" si="0"/>
        <v>0</v>
      </c>
      <c r="G42" s="99">
        <f t="shared" si="2"/>
        <v>-79872000</v>
      </c>
    </row>
    <row r="43" spans="1:12">
      <c r="A43" s="99" t="s">
        <v>4581</v>
      </c>
      <c r="B43" s="113">
        <v>100000</v>
      </c>
      <c r="C43" s="99" t="s">
        <v>3891</v>
      </c>
      <c r="D43" s="99">
        <v>58</v>
      </c>
      <c r="E43" s="99">
        <f t="shared" si="5"/>
        <v>59</v>
      </c>
      <c r="F43" s="99">
        <f t="shared" si="0"/>
        <v>1</v>
      </c>
      <c r="G43" s="99">
        <f t="shared" si="2"/>
        <v>5800000</v>
      </c>
    </row>
    <row r="44" spans="1:12">
      <c r="A44" s="99" t="s">
        <v>4824</v>
      </c>
      <c r="B44" s="113">
        <v>-31000</v>
      </c>
      <c r="C44" s="99" t="s">
        <v>4837</v>
      </c>
      <c r="D44" s="99">
        <v>1</v>
      </c>
      <c r="E44" s="99">
        <f>E48+D44</f>
        <v>1</v>
      </c>
      <c r="F44" s="99">
        <f t="shared" si="0"/>
        <v>0</v>
      </c>
      <c r="G44" s="99">
        <f t="shared" si="2"/>
        <v>-31000</v>
      </c>
    </row>
    <row r="45" spans="1:12">
      <c r="A45" s="99"/>
      <c r="B45" s="113"/>
      <c r="C45" s="99"/>
      <c r="D45" s="99"/>
      <c r="E45" s="99"/>
      <c r="F45" s="99"/>
      <c r="G45" s="99"/>
    </row>
    <row r="46" spans="1:12">
      <c r="A46" s="99"/>
      <c r="B46" s="113"/>
      <c r="C46" s="99"/>
      <c r="D46" s="99"/>
      <c r="E46" s="99"/>
      <c r="F46" s="99"/>
      <c r="G46" s="99"/>
    </row>
    <row r="47" spans="1:12">
      <c r="A47" s="99"/>
      <c r="B47" s="113"/>
      <c r="C47" s="99"/>
      <c r="D47" s="99"/>
      <c r="E47" s="99"/>
      <c r="F47" s="99"/>
      <c r="G47" s="99"/>
      <c r="L47" t="s">
        <v>25</v>
      </c>
    </row>
    <row r="48" spans="1:12">
      <c r="A48" s="99"/>
      <c r="B48" s="113"/>
      <c r="C48" s="99"/>
      <c r="D48" s="99">
        <v>0</v>
      </c>
      <c r="E48" s="99">
        <f t="shared" si="5"/>
        <v>0</v>
      </c>
      <c r="F48" s="99">
        <f t="shared" si="0"/>
        <v>0</v>
      </c>
      <c r="G48" s="99">
        <f t="shared" si="2"/>
        <v>0</v>
      </c>
    </row>
    <row r="49" spans="1:7">
      <c r="A49" s="99"/>
      <c r="B49" s="113"/>
      <c r="C49" s="99"/>
      <c r="D49" s="99">
        <v>0</v>
      </c>
      <c r="E49" s="99">
        <f t="shared" si="5"/>
        <v>0</v>
      </c>
      <c r="F49" s="99">
        <f t="shared" si="0"/>
        <v>0</v>
      </c>
      <c r="G49" s="99">
        <f t="shared" si="2"/>
        <v>0</v>
      </c>
    </row>
    <row r="50" spans="1:7">
      <c r="A50" s="99"/>
      <c r="B50" s="113"/>
      <c r="C50" s="99"/>
      <c r="D50" s="99"/>
      <c r="E50" s="99">
        <f t="shared" si="5"/>
        <v>0</v>
      </c>
      <c r="F50" s="99">
        <f>IF(B33&gt;0,1,0)</f>
        <v>1</v>
      </c>
      <c r="G50" s="99">
        <f t="shared" si="2"/>
        <v>0</v>
      </c>
    </row>
    <row r="51" spans="1:7">
      <c r="A51" s="99"/>
      <c r="B51" s="95">
        <f>SUM(B2:B50)</f>
        <v>77674</v>
      </c>
      <c r="C51" s="99"/>
      <c r="D51" s="99"/>
      <c r="E51" s="99"/>
      <c r="F51" s="99"/>
      <c r="G51" s="95">
        <f>SUM(G2:G33)</f>
        <v>412540042</v>
      </c>
    </row>
    <row r="52" spans="1:7">
      <c r="A52" s="99"/>
      <c r="B52" s="99" t="s">
        <v>283</v>
      </c>
      <c r="C52" s="99"/>
      <c r="D52" s="99"/>
      <c r="E52" s="99"/>
      <c r="F52" s="99" t="s">
        <v>25</v>
      </c>
      <c r="G52" s="99" t="s">
        <v>284</v>
      </c>
    </row>
    <row r="53" spans="1:7">
      <c r="A53" s="99"/>
      <c r="B53" s="99"/>
      <c r="C53" s="99"/>
      <c r="D53" s="99"/>
      <c r="E53" s="99"/>
      <c r="F53" s="99"/>
      <c r="G53" s="99"/>
    </row>
    <row r="54" spans="1:7">
      <c r="A54" s="99"/>
      <c r="B54" s="99"/>
      <c r="C54" s="99"/>
      <c r="D54" s="99"/>
      <c r="E54" s="99"/>
      <c r="F54" s="99"/>
      <c r="G54" s="113">
        <f>G51/E2</f>
        <v>571385.0997229917</v>
      </c>
    </row>
    <row r="55" spans="1:7">
      <c r="A55" s="99"/>
      <c r="B55" s="99"/>
      <c r="C55" s="99"/>
      <c r="D55" s="99"/>
      <c r="E55" s="99"/>
      <c r="F55" s="99"/>
      <c r="G55" s="99" t="s">
        <v>286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H47" sqref="H47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83200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48200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0</v>
      </c>
      <c r="H31" s="11" t="s">
        <v>4885</v>
      </c>
      <c r="I31" s="11">
        <v>248200</v>
      </c>
      <c r="J31" s="11" t="s">
        <v>477</v>
      </c>
    </row>
    <row r="32" spans="2:21">
      <c r="G32" s="11">
        <f>$I$47-I32</f>
        <v>63200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17200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18200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7600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29200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30200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23700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58200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23200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17200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32200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21200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19200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17200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>
        <f>$I$47-I46</f>
        <v>0</v>
      </c>
      <c r="H46" s="11" t="s">
        <v>4885</v>
      </c>
      <c r="I46" s="11">
        <v>248200</v>
      </c>
      <c r="J46" s="11" t="s">
        <v>4897</v>
      </c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248200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8"/>
  <sheetViews>
    <sheetView topLeftCell="A46" workbookViewId="0">
      <selection activeCell="E72" sqref="E72"/>
    </sheetView>
  </sheetViews>
  <sheetFormatPr defaultRowHeight="15"/>
  <cols>
    <col min="1" max="1" width="10.7109375" bestFit="1" customWidth="1"/>
    <col min="2" max="2" width="14.85546875" bestFit="1" customWidth="1"/>
    <col min="3" max="3" width="7.28515625" bestFit="1" customWidth="1"/>
    <col min="4" max="4" width="14.85546875" bestFit="1" customWidth="1"/>
    <col min="5" max="5" width="34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6.14062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2">
      <c r="A1" s="217" t="s">
        <v>0</v>
      </c>
      <c r="B1" s="217" t="s">
        <v>1</v>
      </c>
      <c r="C1" s="217" t="s">
        <v>4</v>
      </c>
      <c r="D1" s="217" t="s">
        <v>5</v>
      </c>
      <c r="E1" s="217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</row>
    <row r="2" spans="1:22">
      <c r="A2" s="217" t="s">
        <v>4786</v>
      </c>
      <c r="B2" s="113">
        <f>'بهمن 97'!B32</f>
        <v>54414</v>
      </c>
      <c r="C2" s="1">
        <f>'بهمن 97'!C32</f>
        <v>0</v>
      </c>
      <c r="D2" s="113">
        <f>B2-C2</f>
        <v>54414</v>
      </c>
      <c r="E2" s="217" t="s">
        <v>59</v>
      </c>
      <c r="F2" s="96">
        <v>30</v>
      </c>
      <c r="G2" s="96">
        <f>B2*F2</f>
        <v>1632420</v>
      </c>
      <c r="H2" s="96">
        <f>C2*F2</f>
        <v>0</v>
      </c>
      <c r="I2" s="96">
        <f>D2*F2</f>
        <v>1632420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</row>
    <row r="3" spans="1:22">
      <c r="A3" s="20" t="s">
        <v>4799</v>
      </c>
      <c r="B3" s="18">
        <v>1669690</v>
      </c>
      <c r="C3" s="18">
        <v>0</v>
      </c>
      <c r="D3" s="113">
        <f t="shared" ref="D3:D31" si="0">B3-C3</f>
        <v>1669690</v>
      </c>
      <c r="E3" s="20" t="s">
        <v>3891</v>
      </c>
      <c r="F3" s="96">
        <v>27</v>
      </c>
      <c r="G3" s="96">
        <f t="shared" ref="G3:G30" si="1">B3*F3</f>
        <v>45081630</v>
      </c>
      <c r="H3" s="96">
        <f t="shared" ref="H3:H30" si="2">C3*F3</f>
        <v>0</v>
      </c>
      <c r="I3" s="96">
        <f t="shared" ref="I3:I30" si="3">D3*F3</f>
        <v>45081630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</row>
    <row r="4" spans="1:22">
      <c r="A4" s="20" t="s">
        <v>4824</v>
      </c>
      <c r="B4" s="18">
        <v>-548543</v>
      </c>
      <c r="C4" s="18">
        <v>0</v>
      </c>
      <c r="D4" s="113">
        <f t="shared" si="0"/>
        <v>-548543</v>
      </c>
      <c r="E4" s="99" t="s">
        <v>3927</v>
      </c>
      <c r="F4" s="96">
        <v>24</v>
      </c>
      <c r="G4" s="96">
        <f t="shared" si="1"/>
        <v>-13165032</v>
      </c>
      <c r="H4" s="96">
        <f t="shared" si="2"/>
        <v>0</v>
      </c>
      <c r="I4" s="96">
        <f t="shared" si="3"/>
        <v>-13165032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</row>
    <row r="5" spans="1:22">
      <c r="A5" s="30" t="s">
        <v>4836</v>
      </c>
      <c r="B5" s="18">
        <v>2450000</v>
      </c>
      <c r="C5" s="18">
        <v>0</v>
      </c>
      <c r="D5" s="113">
        <f t="shared" si="0"/>
        <v>2450000</v>
      </c>
      <c r="E5" s="20" t="s">
        <v>3891</v>
      </c>
      <c r="F5" s="96">
        <v>22</v>
      </c>
      <c r="G5" s="96">
        <f t="shared" si="1"/>
        <v>53900000</v>
      </c>
      <c r="H5" s="96">
        <f t="shared" si="2"/>
        <v>0</v>
      </c>
      <c r="I5" s="96">
        <f t="shared" si="3"/>
        <v>53900000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  <c r="U5" s="96"/>
      <c r="V5" s="96"/>
    </row>
    <row r="6" spans="1:22">
      <c r="A6" s="17" t="s">
        <v>4836</v>
      </c>
      <c r="B6" s="18">
        <v>-1866154</v>
      </c>
      <c r="C6" s="18">
        <v>0</v>
      </c>
      <c r="D6" s="113">
        <f t="shared" si="0"/>
        <v>-1866154</v>
      </c>
      <c r="E6" s="19" t="s">
        <v>4845</v>
      </c>
      <c r="F6" s="96">
        <v>22</v>
      </c>
      <c r="G6" s="96">
        <f t="shared" si="1"/>
        <v>-41055388</v>
      </c>
      <c r="H6" s="96">
        <f t="shared" si="2"/>
        <v>0</v>
      </c>
      <c r="I6" s="96">
        <f t="shared" si="3"/>
        <v>-41055388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  <c r="U6" s="96"/>
      <c r="V6" s="96"/>
    </row>
    <row r="7" spans="1:22">
      <c r="A7" s="17" t="s">
        <v>4836</v>
      </c>
      <c r="B7" s="18">
        <v>-36600</v>
      </c>
      <c r="C7" s="18">
        <v>0</v>
      </c>
      <c r="D7" s="113">
        <f t="shared" si="0"/>
        <v>-36600</v>
      </c>
      <c r="E7" s="19" t="s">
        <v>4846</v>
      </c>
      <c r="F7" s="96">
        <v>23</v>
      </c>
      <c r="G7" s="96">
        <f t="shared" si="1"/>
        <v>-841800</v>
      </c>
      <c r="H7" s="96">
        <f t="shared" si="2"/>
        <v>0</v>
      </c>
      <c r="I7" s="96">
        <f t="shared" si="3"/>
        <v>-841800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  <c r="U7" s="96"/>
      <c r="V7" s="96"/>
    </row>
    <row r="8" spans="1:22">
      <c r="A8" s="17" t="s">
        <v>4847</v>
      </c>
      <c r="B8" s="18">
        <v>-492000</v>
      </c>
      <c r="C8" s="18">
        <v>0</v>
      </c>
      <c r="D8" s="113">
        <f t="shared" si="0"/>
        <v>-492000</v>
      </c>
      <c r="E8" s="19" t="s">
        <v>4848</v>
      </c>
      <c r="F8" s="96">
        <v>22</v>
      </c>
      <c r="G8" s="96">
        <f t="shared" si="1"/>
        <v>-10824000</v>
      </c>
      <c r="H8" s="96">
        <f t="shared" si="2"/>
        <v>0</v>
      </c>
      <c r="I8" s="96">
        <f t="shared" si="3"/>
        <v>-10824000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  <c r="U8" s="96"/>
      <c r="V8" s="96"/>
    </row>
    <row r="9" spans="1:22">
      <c r="A9" s="17" t="s">
        <v>4847</v>
      </c>
      <c r="B9" s="18">
        <v>-518000</v>
      </c>
      <c r="C9" s="18">
        <v>0</v>
      </c>
      <c r="D9" s="113">
        <f t="shared" si="0"/>
        <v>-518000</v>
      </c>
      <c r="E9" s="21" t="s">
        <v>3927</v>
      </c>
      <c r="F9" s="96">
        <v>22</v>
      </c>
      <c r="G9" s="96">
        <f t="shared" si="1"/>
        <v>-11396000</v>
      </c>
      <c r="H9" s="96">
        <f t="shared" si="2"/>
        <v>0</v>
      </c>
      <c r="I9" s="96">
        <f t="shared" si="3"/>
        <v>-11396000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  <c r="U9" s="96"/>
      <c r="V9" s="96"/>
    </row>
    <row r="10" spans="1:22">
      <c r="A10" s="17" t="s">
        <v>4847</v>
      </c>
      <c r="B10" s="18">
        <v>-40000</v>
      </c>
      <c r="C10" s="18">
        <v>0</v>
      </c>
      <c r="D10" s="113">
        <f t="shared" si="0"/>
        <v>-40000</v>
      </c>
      <c r="E10" s="19" t="s">
        <v>4850</v>
      </c>
      <c r="F10" s="96">
        <v>22</v>
      </c>
      <c r="G10" s="96">
        <f t="shared" si="1"/>
        <v>-880000</v>
      </c>
      <c r="H10" s="96">
        <f t="shared" si="2"/>
        <v>0</v>
      </c>
      <c r="I10" s="96">
        <f t="shared" si="3"/>
        <v>-880000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  <c r="U10" s="96"/>
      <c r="V10" s="96"/>
    </row>
    <row r="11" spans="1:22">
      <c r="A11" s="17" t="s">
        <v>4851</v>
      </c>
      <c r="B11" s="18">
        <v>-66000</v>
      </c>
      <c r="C11" s="18">
        <v>0</v>
      </c>
      <c r="D11" s="113">
        <f t="shared" si="0"/>
        <v>-66000</v>
      </c>
      <c r="E11" s="19" t="s">
        <v>4850</v>
      </c>
      <c r="F11" s="96">
        <v>21</v>
      </c>
      <c r="G11" s="96">
        <f t="shared" si="1"/>
        <v>-1386000</v>
      </c>
      <c r="H11" s="96">
        <f t="shared" si="2"/>
        <v>0</v>
      </c>
      <c r="I11" s="96">
        <f t="shared" si="3"/>
        <v>-1386000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  <c r="U11" s="96"/>
      <c r="V11" s="96"/>
    </row>
    <row r="12" spans="1:22">
      <c r="A12" s="20" t="s">
        <v>4852</v>
      </c>
      <c r="B12" s="18">
        <v>-130000</v>
      </c>
      <c r="C12" s="18">
        <v>0</v>
      </c>
      <c r="D12" s="113">
        <f t="shared" si="0"/>
        <v>-130000</v>
      </c>
      <c r="E12" s="20" t="s">
        <v>306</v>
      </c>
      <c r="F12" s="96">
        <v>20</v>
      </c>
      <c r="G12" s="96">
        <f t="shared" si="1"/>
        <v>-2600000</v>
      </c>
      <c r="H12" s="96">
        <f t="shared" si="2"/>
        <v>0</v>
      </c>
      <c r="I12" s="96">
        <f t="shared" si="3"/>
        <v>-2600000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  <c r="U12" s="96"/>
      <c r="V12" s="96"/>
    </row>
    <row r="13" spans="1:22">
      <c r="A13" s="20" t="s">
        <v>4852</v>
      </c>
      <c r="B13" s="18">
        <v>-200500</v>
      </c>
      <c r="C13" s="18">
        <v>0</v>
      </c>
      <c r="D13" s="113">
        <f t="shared" si="0"/>
        <v>-200500</v>
      </c>
      <c r="E13" s="20" t="s">
        <v>4853</v>
      </c>
      <c r="F13" s="96">
        <v>20</v>
      </c>
      <c r="G13" s="96">
        <f>B13*F13</f>
        <v>-4010000</v>
      </c>
      <c r="H13" s="96">
        <f t="shared" si="2"/>
        <v>0</v>
      </c>
      <c r="I13" s="96">
        <f t="shared" si="3"/>
        <v>-4010000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  <c r="U13" s="96"/>
      <c r="V13" s="96"/>
    </row>
    <row r="14" spans="1:22">
      <c r="A14" s="20" t="s">
        <v>4857</v>
      </c>
      <c r="B14" s="18">
        <v>1563000</v>
      </c>
      <c r="C14" s="18">
        <v>0</v>
      </c>
      <c r="D14" s="113">
        <f t="shared" si="0"/>
        <v>1563000</v>
      </c>
      <c r="E14" s="20" t="s">
        <v>4863</v>
      </c>
      <c r="F14" s="96">
        <v>17</v>
      </c>
      <c r="G14" s="96">
        <f t="shared" si="1"/>
        <v>26571000</v>
      </c>
      <c r="H14" s="96">
        <f t="shared" si="2"/>
        <v>0</v>
      </c>
      <c r="I14" s="96">
        <f t="shared" si="3"/>
        <v>26571000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  <c r="U14" s="96"/>
      <c r="V14" s="96"/>
    </row>
    <row r="15" spans="1:22">
      <c r="A15" s="20" t="s">
        <v>4857</v>
      </c>
      <c r="B15" s="18">
        <v>-160000</v>
      </c>
      <c r="C15" s="18">
        <v>0</v>
      </c>
      <c r="D15" s="113">
        <f t="shared" si="0"/>
        <v>-160000</v>
      </c>
      <c r="E15" s="20" t="s">
        <v>4153</v>
      </c>
      <c r="F15" s="96">
        <v>17</v>
      </c>
      <c r="G15" s="96">
        <f t="shared" si="1"/>
        <v>-2720000</v>
      </c>
      <c r="H15" s="96">
        <f t="shared" si="2"/>
        <v>0</v>
      </c>
      <c r="I15" s="96">
        <f t="shared" si="3"/>
        <v>-2720000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  <c r="U15" s="96"/>
      <c r="V15" s="96"/>
    </row>
    <row r="16" spans="1:22">
      <c r="A16" s="20" t="s">
        <v>4872</v>
      </c>
      <c r="B16" s="18">
        <v>-20000</v>
      </c>
      <c r="C16" s="18">
        <v>0</v>
      </c>
      <c r="D16" s="113">
        <f t="shared" si="0"/>
        <v>-20000</v>
      </c>
      <c r="E16" s="20" t="s">
        <v>4877</v>
      </c>
      <c r="F16" s="96">
        <v>16</v>
      </c>
      <c r="G16" s="96">
        <f t="shared" si="1"/>
        <v>-320000</v>
      </c>
      <c r="H16" s="96">
        <f t="shared" si="2"/>
        <v>0</v>
      </c>
      <c r="I16" s="96">
        <f t="shared" si="3"/>
        <v>-320000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  <c r="U16" s="96"/>
      <c r="V16" s="96"/>
    </row>
    <row r="17" spans="1:22">
      <c r="A17" s="20" t="s">
        <v>974</v>
      </c>
      <c r="B17" s="18">
        <v>-30000</v>
      </c>
      <c r="C17" s="18">
        <v>0</v>
      </c>
      <c r="D17" s="113">
        <f t="shared" si="0"/>
        <v>-30000</v>
      </c>
      <c r="E17" s="20" t="s">
        <v>4890</v>
      </c>
      <c r="F17" s="96">
        <v>13</v>
      </c>
      <c r="G17" s="96">
        <f t="shared" si="1"/>
        <v>-390000</v>
      </c>
      <c r="H17" s="96">
        <f t="shared" si="2"/>
        <v>0</v>
      </c>
      <c r="I17" s="96">
        <f t="shared" si="3"/>
        <v>-390000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  <c r="U17" s="96"/>
      <c r="V17" s="96"/>
    </row>
    <row r="18" spans="1:22">
      <c r="A18" s="20" t="s">
        <v>974</v>
      </c>
      <c r="B18" s="18">
        <v>-790500</v>
      </c>
      <c r="C18" s="18">
        <v>0</v>
      </c>
      <c r="D18" s="113">
        <f t="shared" si="0"/>
        <v>-790500</v>
      </c>
      <c r="E18" s="20" t="s">
        <v>4895</v>
      </c>
      <c r="F18" s="96">
        <v>13</v>
      </c>
      <c r="G18" s="96">
        <f t="shared" si="1"/>
        <v>-10276500</v>
      </c>
      <c r="H18" s="96">
        <f t="shared" si="2"/>
        <v>0</v>
      </c>
      <c r="I18" s="96">
        <f t="shared" si="3"/>
        <v>-10276500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  <c r="U18" s="96"/>
      <c r="V18" s="96"/>
    </row>
    <row r="19" spans="1:22">
      <c r="A19" s="20" t="s">
        <v>4902</v>
      </c>
      <c r="B19" s="18">
        <v>-10932</v>
      </c>
      <c r="C19" s="18">
        <v>0</v>
      </c>
      <c r="D19" s="113">
        <f t="shared" si="0"/>
        <v>-10932</v>
      </c>
      <c r="E19" s="20" t="s">
        <v>3927</v>
      </c>
      <c r="F19" s="96">
        <v>11</v>
      </c>
      <c r="G19" s="96">
        <f t="shared" si="1"/>
        <v>-120252</v>
      </c>
      <c r="H19" s="96">
        <f t="shared" si="2"/>
        <v>0</v>
      </c>
      <c r="I19" s="96">
        <f t="shared" si="3"/>
        <v>-120252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  <c r="U19" s="96"/>
      <c r="V19" s="96"/>
    </row>
    <row r="20" spans="1:22">
      <c r="A20" s="19" t="s">
        <v>4914</v>
      </c>
      <c r="B20" s="18">
        <v>400000</v>
      </c>
      <c r="C20" s="18">
        <v>0</v>
      </c>
      <c r="D20" s="113">
        <f t="shared" si="0"/>
        <v>400000</v>
      </c>
      <c r="E20" s="19" t="s">
        <v>4924</v>
      </c>
      <c r="F20" s="96">
        <v>8</v>
      </c>
      <c r="G20" s="96">
        <f t="shared" si="1"/>
        <v>3200000</v>
      </c>
      <c r="H20" s="96">
        <f t="shared" si="2"/>
        <v>0</v>
      </c>
      <c r="I20" s="96">
        <f t="shared" si="3"/>
        <v>3200000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  <c r="U20" s="96"/>
      <c r="V20" s="96"/>
    </row>
    <row r="21" spans="1:22">
      <c r="A21" s="19" t="s">
        <v>4926</v>
      </c>
      <c r="B21" s="18">
        <v>360000</v>
      </c>
      <c r="C21" s="18">
        <v>0</v>
      </c>
      <c r="D21" s="113">
        <f t="shared" si="0"/>
        <v>360000</v>
      </c>
      <c r="E21" s="19" t="s">
        <v>3891</v>
      </c>
      <c r="F21" s="96">
        <v>7</v>
      </c>
      <c r="G21" s="96">
        <f t="shared" si="1"/>
        <v>2520000</v>
      </c>
      <c r="H21" s="96">
        <f t="shared" si="2"/>
        <v>0</v>
      </c>
      <c r="I21" s="96">
        <f t="shared" si="3"/>
        <v>2520000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  <c r="U21" s="96"/>
      <c r="V21" s="96"/>
    </row>
    <row r="22" spans="1:22">
      <c r="A22" s="19" t="s">
        <v>4926</v>
      </c>
      <c r="B22" s="18">
        <v>-438200</v>
      </c>
      <c r="C22" s="18">
        <v>0</v>
      </c>
      <c r="D22" s="113">
        <f t="shared" si="0"/>
        <v>-438200</v>
      </c>
      <c r="E22" s="19" t="s">
        <v>4014</v>
      </c>
      <c r="F22" s="96">
        <v>8</v>
      </c>
      <c r="G22" s="96">
        <f t="shared" si="1"/>
        <v>-3505600</v>
      </c>
      <c r="H22" s="96">
        <f t="shared" si="2"/>
        <v>0</v>
      </c>
      <c r="I22" s="96">
        <f t="shared" si="3"/>
        <v>-3505600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  <c r="U22" s="96"/>
      <c r="V22" s="96"/>
    </row>
    <row r="23" spans="1:22">
      <c r="A23" s="19" t="s">
        <v>4926</v>
      </c>
      <c r="B23" s="18">
        <v>-299000</v>
      </c>
      <c r="C23" s="18">
        <v>0</v>
      </c>
      <c r="D23" s="113">
        <f t="shared" si="0"/>
        <v>-299000</v>
      </c>
      <c r="E23" s="19" t="s">
        <v>3927</v>
      </c>
      <c r="F23" s="96">
        <v>8</v>
      </c>
      <c r="G23" s="96">
        <f t="shared" si="1"/>
        <v>-2392000</v>
      </c>
      <c r="H23" s="96">
        <f t="shared" si="2"/>
        <v>0</v>
      </c>
      <c r="I23" s="96">
        <f t="shared" si="3"/>
        <v>-2392000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  <c r="U23" s="96"/>
      <c r="V23" s="96"/>
    </row>
    <row r="24" spans="1:22">
      <c r="A24" s="19" t="s">
        <v>4936</v>
      </c>
      <c r="B24" s="18">
        <v>1700000</v>
      </c>
      <c r="C24" s="18">
        <v>0</v>
      </c>
      <c r="D24" s="113">
        <f t="shared" si="0"/>
        <v>1700000</v>
      </c>
      <c r="E24" s="19" t="s">
        <v>517</v>
      </c>
      <c r="F24" s="96">
        <v>7</v>
      </c>
      <c r="G24" s="96">
        <f t="shared" si="1"/>
        <v>11900000</v>
      </c>
      <c r="H24" s="96">
        <f t="shared" si="2"/>
        <v>0</v>
      </c>
      <c r="I24" s="96">
        <f t="shared" si="3"/>
        <v>11900000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  <c r="U24" s="96"/>
      <c r="V24" s="96"/>
    </row>
    <row r="25" spans="1:22">
      <c r="A25" s="19" t="s">
        <v>4936</v>
      </c>
      <c r="B25" s="18">
        <v>-360000</v>
      </c>
      <c r="C25" s="18">
        <v>0</v>
      </c>
      <c r="D25" s="113">
        <f t="shared" si="0"/>
        <v>-360000</v>
      </c>
      <c r="E25" s="19" t="s">
        <v>3927</v>
      </c>
      <c r="F25" s="96">
        <v>7</v>
      </c>
      <c r="G25" s="96">
        <f t="shared" si="1"/>
        <v>-2520000</v>
      </c>
      <c r="H25" s="96">
        <f t="shared" si="2"/>
        <v>0</v>
      </c>
      <c r="I25" s="96">
        <f t="shared" si="3"/>
        <v>-2520000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  <c r="U25" s="96"/>
      <c r="V25" s="96"/>
    </row>
    <row r="26" spans="1:22">
      <c r="A26" s="19" t="s">
        <v>4937</v>
      </c>
      <c r="B26" s="18">
        <v>-2000000</v>
      </c>
      <c r="C26" s="18">
        <v>0</v>
      </c>
      <c r="D26" s="113">
        <f t="shared" si="0"/>
        <v>-2000000</v>
      </c>
      <c r="E26" s="19" t="s">
        <v>4259</v>
      </c>
      <c r="F26" s="96">
        <v>6</v>
      </c>
      <c r="G26" s="96">
        <f t="shared" si="1"/>
        <v>-12000000</v>
      </c>
      <c r="H26" s="96">
        <f t="shared" si="2"/>
        <v>0</v>
      </c>
      <c r="I26" s="96">
        <f t="shared" si="3"/>
        <v>-12000000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  <c r="U26" s="96"/>
      <c r="V26" s="96"/>
    </row>
    <row r="27" spans="1:22">
      <c r="A27" s="19" t="s">
        <v>4937</v>
      </c>
      <c r="B27" s="18">
        <v>280000</v>
      </c>
      <c r="C27" s="18">
        <v>0</v>
      </c>
      <c r="D27" s="113">
        <f t="shared" si="0"/>
        <v>280000</v>
      </c>
      <c r="E27" s="19" t="s">
        <v>3891</v>
      </c>
      <c r="F27" s="96">
        <v>5</v>
      </c>
      <c r="G27" s="96">
        <f t="shared" si="1"/>
        <v>1400000</v>
      </c>
      <c r="H27" s="96">
        <f t="shared" si="2"/>
        <v>0</v>
      </c>
      <c r="I27" s="96">
        <f t="shared" si="3"/>
        <v>1400000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  <c r="U27" s="96"/>
      <c r="V27" s="96"/>
    </row>
    <row r="28" spans="1:22">
      <c r="A28" s="19" t="s">
        <v>4633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  <c r="U28" s="96"/>
      <c r="V28" s="96"/>
    </row>
    <row r="29" spans="1:22">
      <c r="A29" s="19" t="s">
        <v>4633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  <c r="U29" s="96"/>
      <c r="V29" s="96"/>
    </row>
    <row r="30" spans="1:22">
      <c r="A30" s="19" t="s">
        <v>4638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  <c r="U30" s="96"/>
      <c r="V30" s="96"/>
    </row>
    <row r="31" spans="1:22">
      <c r="A31" s="217" t="s">
        <v>4638</v>
      </c>
      <c r="B31" s="217">
        <v>0</v>
      </c>
      <c r="C31" s="217">
        <v>0</v>
      </c>
      <c r="D31" s="217">
        <f t="shared" si="0"/>
        <v>0</v>
      </c>
      <c r="E31" s="217"/>
      <c r="F31" s="96">
        <v>0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  <c r="U31" s="96"/>
      <c r="V31" s="96"/>
    </row>
    <row r="32" spans="1:22">
      <c r="A32" s="217" t="s">
        <v>6</v>
      </c>
      <c r="B32" s="113">
        <f>SUM(B2:B31)</f>
        <v>470675</v>
      </c>
      <c r="C32" s="113">
        <f>SUM(C2:C31)</f>
        <v>0</v>
      </c>
      <c r="D32" s="113">
        <f>SUM(D2:D31)</f>
        <v>470675</v>
      </c>
      <c r="E32" s="217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  <c r="U32" s="96"/>
      <c r="V32" s="96"/>
    </row>
    <row r="33" spans="1:22">
      <c r="A33" s="96"/>
      <c r="B33" s="96"/>
      <c r="C33" s="96"/>
      <c r="D33" s="96"/>
      <c r="E33" s="96"/>
      <c r="F33" s="96"/>
      <c r="G33" s="18">
        <f>SUM(G2:G31)</f>
        <v>25802478</v>
      </c>
      <c r="H33" s="18">
        <f>SUM(H2:H31)</f>
        <v>0</v>
      </c>
      <c r="I33" s="18">
        <f>SUM(I2:I31)</f>
        <v>25802478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  <c r="U33" s="96"/>
      <c r="V33" s="96"/>
    </row>
    <row r="34" spans="1:22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  <c r="U34" s="96"/>
      <c r="V34" s="96"/>
    </row>
    <row r="35" spans="1:22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</row>
    <row r="36" spans="1:22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</row>
    <row r="37" spans="1:22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</row>
    <row r="38" spans="1:22">
      <c r="A38" s="96"/>
      <c r="B38" s="96"/>
      <c r="C38" s="96"/>
      <c r="D38" s="18">
        <v>741539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</row>
    <row r="39" spans="1:22">
      <c r="A39" s="96"/>
      <c r="B39" s="96"/>
      <c r="C39" s="96"/>
      <c r="D39" s="18">
        <v>-42753</v>
      </c>
      <c r="E39" s="96" t="s">
        <v>4797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</row>
    <row r="40" spans="1:22">
      <c r="A40" s="96"/>
      <c r="B40" s="114"/>
      <c r="C40" s="96"/>
      <c r="D40" s="18">
        <v>1900000</v>
      </c>
      <c r="E40" s="122" t="s">
        <v>445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</row>
    <row r="41" spans="1:22">
      <c r="A41" s="96"/>
      <c r="B41" s="96"/>
      <c r="C41" s="96"/>
      <c r="D41" s="18">
        <v>-1800000</v>
      </c>
      <c r="E41" s="122" t="s">
        <v>4176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</row>
    <row r="42" spans="1:22">
      <c r="A42" s="96"/>
      <c r="B42" s="96"/>
      <c r="C42" s="96"/>
      <c r="D42" s="18">
        <v>130310</v>
      </c>
      <c r="E42" s="122" t="s">
        <v>4798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</row>
    <row r="43" spans="1:22">
      <c r="A43" s="96"/>
      <c r="B43" s="96"/>
      <c r="C43" s="96"/>
      <c r="D43" s="18">
        <v>50000</v>
      </c>
      <c r="E43" s="122" t="s">
        <v>4811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</row>
    <row r="44" spans="1:22">
      <c r="A44" s="96"/>
      <c r="B44" s="96"/>
      <c r="C44" s="96"/>
      <c r="D44" s="18">
        <v>25942</v>
      </c>
      <c r="E44" s="122" t="s">
        <v>4812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</row>
    <row r="45" spans="1:22">
      <c r="A45" s="96"/>
      <c r="B45" s="96"/>
      <c r="C45" s="96"/>
      <c r="D45" s="18">
        <v>15107</v>
      </c>
      <c r="E45" s="122" t="s">
        <v>4822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</row>
    <row r="46" spans="1:22">
      <c r="A46" s="96"/>
      <c r="B46" s="96"/>
      <c r="C46" s="96"/>
      <c r="D46" s="18">
        <v>31000</v>
      </c>
      <c r="E46" s="122" t="s">
        <v>4834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</row>
    <row r="47" spans="1:22">
      <c r="A47" s="96"/>
      <c r="B47" s="96"/>
      <c r="C47" s="96"/>
      <c r="D47" s="18">
        <v>-475000</v>
      </c>
      <c r="E47" s="122" t="s">
        <v>4839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</row>
    <row r="48" spans="1:22">
      <c r="A48" s="96"/>
      <c r="B48" s="96"/>
      <c r="C48" s="96"/>
      <c r="D48" s="18">
        <v>-2450000</v>
      </c>
      <c r="E48" s="122" t="s">
        <v>4843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</row>
    <row r="49" spans="1:22">
      <c r="A49" s="96"/>
      <c r="B49" s="96"/>
      <c r="C49" s="96"/>
      <c r="D49" s="18">
        <v>8469</v>
      </c>
      <c r="E49" s="122" t="s">
        <v>4844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</row>
    <row r="50" spans="1:22">
      <c r="A50" s="96"/>
      <c r="B50" s="96"/>
      <c r="C50" s="96"/>
      <c r="D50" s="18">
        <v>1866154</v>
      </c>
      <c r="E50" s="19" t="s">
        <v>4845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</row>
    <row r="51" spans="1:22">
      <c r="A51" s="96"/>
      <c r="B51" s="96"/>
      <c r="C51" s="96"/>
      <c r="D51" s="18">
        <v>492000</v>
      </c>
      <c r="E51" s="122" t="s">
        <v>4849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</row>
    <row r="52" spans="1:22">
      <c r="A52" s="96"/>
      <c r="B52" s="96"/>
      <c r="C52" s="96"/>
      <c r="D52" s="18">
        <v>130000</v>
      </c>
      <c r="E52" s="122" t="s">
        <v>4854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</row>
    <row r="53" spans="1:22">
      <c r="A53" s="96"/>
      <c r="B53" s="96"/>
      <c r="C53" s="96"/>
      <c r="D53" s="18">
        <v>-17729</v>
      </c>
      <c r="E53" s="122" t="s">
        <v>4855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</row>
    <row r="54" spans="1:22">
      <c r="A54" s="96"/>
      <c r="B54" s="96"/>
      <c r="C54" s="96"/>
      <c r="D54" s="18">
        <v>-8574</v>
      </c>
      <c r="E54" s="122" t="s">
        <v>4858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</row>
    <row r="55" spans="1:22">
      <c r="A55" s="96"/>
      <c r="B55" s="96"/>
      <c r="C55" s="96"/>
      <c r="D55" s="18">
        <v>160000</v>
      </c>
      <c r="E55" s="122" t="s">
        <v>4864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</row>
    <row r="56" spans="1:22">
      <c r="A56" s="96"/>
      <c r="B56" s="96"/>
      <c r="C56" s="96"/>
      <c r="D56" s="18">
        <v>-147485</v>
      </c>
      <c r="E56" s="122" t="s">
        <v>4867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</row>
    <row r="57" spans="1:22">
      <c r="A57" s="96"/>
      <c r="B57" s="96"/>
      <c r="C57" s="96"/>
      <c r="D57" s="18">
        <v>-179061</v>
      </c>
      <c r="E57" s="122" t="s">
        <v>4871</v>
      </c>
      <c r="F57" s="114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</row>
    <row r="58" spans="1:22">
      <c r="A58" s="96"/>
      <c r="B58" s="96"/>
      <c r="C58" s="96"/>
      <c r="D58" s="18">
        <v>17250</v>
      </c>
      <c r="E58" s="122" t="s">
        <v>4875</v>
      </c>
      <c r="F58" s="96"/>
      <c r="G58" s="96" t="s">
        <v>25</v>
      </c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</row>
    <row r="59" spans="1:22">
      <c r="A59" s="96"/>
      <c r="B59" s="96"/>
      <c r="C59" s="96"/>
      <c r="D59" s="18">
        <v>20000</v>
      </c>
      <c r="E59" s="122" t="s">
        <v>4876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</row>
    <row r="60" spans="1:22">
      <c r="A60" s="96"/>
      <c r="B60" s="96"/>
      <c r="C60" s="96"/>
      <c r="D60" s="18">
        <v>-74430</v>
      </c>
      <c r="E60" s="122" t="s">
        <v>4879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</row>
    <row r="61" spans="1:22">
      <c r="A61" s="96"/>
      <c r="B61" s="96"/>
      <c r="C61" s="96"/>
      <c r="D61" s="18">
        <v>-50000</v>
      </c>
      <c r="E61" s="122" t="s">
        <v>4880</v>
      </c>
      <c r="F61" s="96"/>
      <c r="G61" s="96" t="s">
        <v>25</v>
      </c>
      <c r="H61" s="96" t="s">
        <v>25</v>
      </c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</row>
    <row r="62" spans="1:22">
      <c r="A62" s="96"/>
      <c r="B62" s="96"/>
      <c r="C62" s="96"/>
      <c r="D62" s="18">
        <v>686</v>
      </c>
      <c r="E62" s="122" t="s">
        <v>4891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</row>
    <row r="63" spans="1:22">
      <c r="A63" s="96"/>
      <c r="B63" s="96"/>
      <c r="C63" s="96"/>
      <c r="D63" s="18">
        <v>200000</v>
      </c>
      <c r="E63" s="122" t="s">
        <v>4894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</row>
    <row r="64" spans="1:22">
      <c r="A64" s="96"/>
      <c r="B64" s="96"/>
      <c r="C64" s="96"/>
      <c r="D64" s="18">
        <v>-100000</v>
      </c>
      <c r="E64" s="122" t="s">
        <v>4208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</row>
    <row r="65" spans="1:22">
      <c r="A65" s="96"/>
      <c r="B65" s="96"/>
      <c r="C65" s="96"/>
      <c r="D65" s="18">
        <v>-18156</v>
      </c>
      <c r="E65" s="122" t="s">
        <v>4901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</row>
    <row r="66" spans="1:22">
      <c r="A66" s="96"/>
      <c r="B66" s="96"/>
      <c r="C66" s="96"/>
      <c r="D66" s="18">
        <v>-153545</v>
      </c>
      <c r="E66" s="122" t="s">
        <v>4903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</row>
    <row r="67" spans="1:22">
      <c r="A67" s="96"/>
      <c r="B67" s="96"/>
      <c r="C67" s="96"/>
      <c r="D67" s="18">
        <v>-67844</v>
      </c>
      <c r="E67" s="122" t="s">
        <v>4907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</row>
    <row r="68" spans="1:22">
      <c r="D68" s="18">
        <v>-400000</v>
      </c>
      <c r="E68" s="122" t="s">
        <v>4925</v>
      </c>
      <c r="G68" t="s">
        <v>25</v>
      </c>
    </row>
    <row r="69" spans="1:22">
      <c r="D69" s="18">
        <v>463200</v>
      </c>
      <c r="E69" s="122" t="s">
        <v>4935</v>
      </c>
    </row>
    <row r="70" spans="1:22">
      <c r="D70" s="18">
        <v>2000000</v>
      </c>
      <c r="E70" s="96" t="s">
        <v>4938</v>
      </c>
    </row>
    <row r="71" spans="1:22">
      <c r="D71" s="18">
        <v>-280000</v>
      </c>
      <c r="E71" t="s">
        <v>4943</v>
      </c>
    </row>
    <row r="72" spans="1:22">
      <c r="D72" s="18">
        <v>0</v>
      </c>
      <c r="E72" s="96" t="s">
        <v>25</v>
      </c>
    </row>
    <row r="73" spans="1:22">
      <c r="D73" s="18"/>
      <c r="E73" s="96" t="s">
        <v>25</v>
      </c>
    </row>
    <row r="74" spans="1:22">
      <c r="D74" s="18">
        <f>SUM(D38:D73)</f>
        <v>1987080</v>
      </c>
      <c r="E74" s="96" t="s">
        <v>6</v>
      </c>
    </row>
    <row r="75" spans="1:22">
      <c r="D75" s="96"/>
      <c r="E75" s="96"/>
    </row>
    <row r="76" spans="1:22">
      <c r="D76" s="96"/>
    </row>
    <row r="77" spans="1:22">
      <c r="D77" s="96"/>
    </row>
    <row r="78" spans="1:22">
      <c r="D78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1"/>
  <sheetViews>
    <sheetView zoomScaleNormal="100" workbookViewId="0">
      <pane ySplit="1" topLeftCell="A343" activePane="bottomLeft" state="frozen"/>
      <selection pane="bottomLeft" activeCell="F341" sqref="F341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1071</v>
      </c>
      <c r="H2" s="36">
        <f>IF(B2&gt;0,1,0)</f>
        <v>1</v>
      </c>
      <c r="I2" s="11">
        <f>B2*(G2-H2)</f>
        <v>17869000</v>
      </c>
      <c r="J2" s="53">
        <f>C2*(G2-H2)</f>
        <v>17869000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1070</v>
      </c>
      <c r="H3" s="36">
        <f t="shared" ref="H3:H66" si="2">IF(B3&gt;0,1,0)</f>
        <v>1</v>
      </c>
      <c r="I3" s="11">
        <f t="shared" ref="I3:I66" si="3">B3*(G3-H3)</f>
        <v>21273100000</v>
      </c>
      <c r="J3" s="53">
        <f t="shared" ref="J3:J66" si="4">C3*(G3-H3)</f>
        <v>12172703000</v>
      </c>
      <c r="K3" s="53">
        <f t="shared" ref="K3:K66" si="5">D3*(G3-H3)</f>
        <v>9100397000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1070</v>
      </c>
      <c r="H4" s="36">
        <f t="shared" si="2"/>
        <v>0</v>
      </c>
      <c r="I4" s="11">
        <f t="shared" si="3"/>
        <v>0</v>
      </c>
      <c r="J4" s="53">
        <f t="shared" si="4"/>
        <v>9095000</v>
      </c>
      <c r="K4" s="53">
        <f t="shared" si="5"/>
        <v>-9095000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1068</v>
      </c>
      <c r="H5" s="36">
        <f t="shared" si="2"/>
        <v>1</v>
      </c>
      <c r="I5" s="11">
        <f t="shared" si="3"/>
        <v>2134000000</v>
      </c>
      <c r="J5" s="53">
        <f t="shared" si="4"/>
        <v>0</v>
      </c>
      <c r="K5" s="53">
        <f t="shared" si="5"/>
        <v>2134000000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1061</v>
      </c>
      <c r="H6" s="36">
        <f t="shared" si="2"/>
        <v>0</v>
      </c>
      <c r="I6" s="11">
        <f t="shared" si="3"/>
        <v>-5305000</v>
      </c>
      <c r="J6" s="53">
        <f t="shared" si="4"/>
        <v>0</v>
      </c>
      <c r="K6" s="53">
        <f t="shared" si="5"/>
        <v>-5305000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1057</v>
      </c>
      <c r="H7" s="36">
        <f t="shared" si="2"/>
        <v>0</v>
      </c>
      <c r="I7" s="11">
        <f t="shared" si="3"/>
        <v>-1268928500</v>
      </c>
      <c r="J7" s="53">
        <f t="shared" si="4"/>
        <v>0</v>
      </c>
      <c r="K7" s="53">
        <f t="shared" si="5"/>
        <v>-1268928500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1056</v>
      </c>
      <c r="H8" s="36">
        <f t="shared" si="2"/>
        <v>0</v>
      </c>
      <c r="I8" s="11">
        <f t="shared" si="3"/>
        <v>-211200000</v>
      </c>
      <c r="J8" s="53">
        <f t="shared" si="4"/>
        <v>0</v>
      </c>
      <c r="K8" s="53">
        <f t="shared" si="5"/>
        <v>-211200000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1054</v>
      </c>
      <c r="H9" s="36">
        <f t="shared" si="2"/>
        <v>0</v>
      </c>
      <c r="I9" s="11">
        <f t="shared" si="3"/>
        <v>-743597000</v>
      </c>
      <c r="J9" s="53">
        <f t="shared" si="4"/>
        <v>0</v>
      </c>
      <c r="K9" s="53">
        <f t="shared" si="5"/>
        <v>-743597000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1045</v>
      </c>
      <c r="H10" s="36">
        <f t="shared" si="2"/>
        <v>0</v>
      </c>
      <c r="I10" s="11">
        <f t="shared" si="3"/>
        <v>-209000000</v>
      </c>
      <c r="J10" s="53">
        <f t="shared" si="4"/>
        <v>0</v>
      </c>
      <c r="K10" s="53">
        <f t="shared" si="5"/>
        <v>-209000000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1045</v>
      </c>
      <c r="H11" s="36">
        <f t="shared" si="2"/>
        <v>1</v>
      </c>
      <c r="I11" s="11">
        <f t="shared" si="3"/>
        <v>1044000000</v>
      </c>
      <c r="J11" s="53">
        <f t="shared" si="4"/>
        <v>0</v>
      </c>
      <c r="K11" s="53">
        <f t="shared" si="5"/>
        <v>1044000000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1041</v>
      </c>
      <c r="H12" s="36">
        <f t="shared" si="2"/>
        <v>0</v>
      </c>
      <c r="I12" s="11">
        <f t="shared" si="3"/>
        <v>-312300000</v>
      </c>
      <c r="J12" s="53">
        <f t="shared" si="4"/>
        <v>0</v>
      </c>
      <c r="K12" s="53">
        <f t="shared" si="5"/>
        <v>-312300000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1036</v>
      </c>
      <c r="H13" s="36">
        <f t="shared" si="2"/>
        <v>0</v>
      </c>
      <c r="I13" s="11">
        <f t="shared" si="3"/>
        <v>-64232000</v>
      </c>
      <c r="J13" s="53">
        <f t="shared" si="4"/>
        <v>0</v>
      </c>
      <c r="K13" s="53">
        <f t="shared" si="5"/>
        <v>-64232000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1036</v>
      </c>
      <c r="H14" s="36">
        <f t="shared" si="2"/>
        <v>1</v>
      </c>
      <c r="I14" s="11">
        <f t="shared" si="3"/>
        <v>2070000000</v>
      </c>
      <c r="J14" s="53">
        <f t="shared" si="4"/>
        <v>0</v>
      </c>
      <c r="K14" s="53">
        <f t="shared" si="5"/>
        <v>2070000000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1035</v>
      </c>
      <c r="H15" s="36">
        <f t="shared" si="2"/>
        <v>1</v>
      </c>
      <c r="I15" s="11">
        <f t="shared" si="3"/>
        <v>1861200000</v>
      </c>
      <c r="J15" s="53">
        <f t="shared" si="4"/>
        <v>0</v>
      </c>
      <c r="K15" s="53">
        <f t="shared" si="5"/>
        <v>1861200000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1035</v>
      </c>
      <c r="H16" s="36">
        <f t="shared" si="2"/>
        <v>0</v>
      </c>
      <c r="I16" s="11">
        <f t="shared" si="3"/>
        <v>-207000000</v>
      </c>
      <c r="J16" s="53">
        <f t="shared" si="4"/>
        <v>0</v>
      </c>
      <c r="K16" s="53">
        <f t="shared" si="5"/>
        <v>-207000000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1031</v>
      </c>
      <c r="H17" s="36">
        <f t="shared" si="2"/>
        <v>0</v>
      </c>
      <c r="I17" s="11">
        <f t="shared" si="3"/>
        <v>-2062000000</v>
      </c>
      <c r="J17" s="53">
        <f t="shared" si="4"/>
        <v>0</v>
      </c>
      <c r="K17" s="53">
        <f t="shared" si="5"/>
        <v>-2062000000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1030</v>
      </c>
      <c r="H18" s="36">
        <f t="shared" si="2"/>
        <v>0</v>
      </c>
      <c r="I18" s="11">
        <f t="shared" si="3"/>
        <v>-309000000</v>
      </c>
      <c r="J18" s="53">
        <f t="shared" si="4"/>
        <v>0</v>
      </c>
      <c r="K18" s="53">
        <f t="shared" si="5"/>
        <v>-309000000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1029</v>
      </c>
      <c r="H19" s="36">
        <f t="shared" si="2"/>
        <v>0</v>
      </c>
      <c r="I19" s="11">
        <f t="shared" si="3"/>
        <v>-205800000</v>
      </c>
      <c r="J19" s="53">
        <f t="shared" si="4"/>
        <v>0</v>
      </c>
      <c r="K19" s="53">
        <f t="shared" si="5"/>
        <v>-205800000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1027</v>
      </c>
      <c r="H20" s="36">
        <f t="shared" si="2"/>
        <v>1</v>
      </c>
      <c r="I20" s="11">
        <f t="shared" si="3"/>
        <v>278137314</v>
      </c>
      <c r="J20" s="53">
        <f t="shared" si="4"/>
        <v>151285752</v>
      </c>
      <c r="K20" s="53">
        <f t="shared" si="5"/>
        <v>126851562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1025</v>
      </c>
      <c r="H21" s="36">
        <f t="shared" si="2"/>
        <v>0</v>
      </c>
      <c r="I21" s="11">
        <f t="shared" si="3"/>
        <v>-1543342500</v>
      </c>
      <c r="J21" s="53">
        <f t="shared" si="4"/>
        <v>0</v>
      </c>
      <c r="K21" s="53">
        <f t="shared" si="5"/>
        <v>-1543342500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1022</v>
      </c>
      <c r="H22" s="36">
        <f t="shared" si="2"/>
        <v>1</v>
      </c>
      <c r="I22" s="11">
        <f t="shared" si="3"/>
        <v>3063000000</v>
      </c>
      <c r="J22" s="53">
        <f t="shared" si="4"/>
        <v>0</v>
      </c>
      <c r="K22" s="53">
        <f t="shared" si="5"/>
        <v>3063000000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1021</v>
      </c>
      <c r="H23" s="36">
        <f t="shared" si="2"/>
        <v>1</v>
      </c>
      <c r="I23" s="11">
        <f t="shared" si="3"/>
        <v>1020000000</v>
      </c>
      <c r="J23" s="53">
        <f t="shared" si="4"/>
        <v>0</v>
      </c>
      <c r="K23" s="53">
        <f t="shared" si="5"/>
        <v>1020000000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1020</v>
      </c>
      <c r="H24" s="36">
        <f t="shared" si="2"/>
        <v>0</v>
      </c>
      <c r="I24" s="11">
        <f t="shared" si="3"/>
        <v>-3060918000</v>
      </c>
      <c r="J24" s="53">
        <f t="shared" si="4"/>
        <v>0</v>
      </c>
      <c r="K24" s="53">
        <f t="shared" si="5"/>
        <v>-3060918000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1005</v>
      </c>
      <c r="H25" s="36">
        <f t="shared" si="2"/>
        <v>1</v>
      </c>
      <c r="I25" s="11">
        <f t="shared" si="3"/>
        <v>1506000000</v>
      </c>
      <c r="J25" s="53">
        <f t="shared" si="4"/>
        <v>0</v>
      </c>
      <c r="K25" s="53">
        <f t="shared" si="5"/>
        <v>1506000000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997</v>
      </c>
      <c r="H26" s="36">
        <f t="shared" si="2"/>
        <v>0</v>
      </c>
      <c r="I26" s="11">
        <f t="shared" si="3"/>
        <v>-163508000</v>
      </c>
      <c r="J26" s="53">
        <f t="shared" si="4"/>
        <v>0</v>
      </c>
      <c r="K26" s="53">
        <f t="shared" si="5"/>
        <v>-163508000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996</v>
      </c>
      <c r="H27" s="36">
        <f t="shared" si="2"/>
        <v>1</v>
      </c>
      <c r="I27" s="11">
        <f t="shared" si="3"/>
        <v>198396035</v>
      </c>
      <c r="J27" s="53">
        <f t="shared" si="4"/>
        <v>106875935</v>
      </c>
      <c r="K27" s="53">
        <f t="shared" si="5"/>
        <v>91520100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994</v>
      </c>
      <c r="H28" s="36">
        <f t="shared" si="2"/>
        <v>0</v>
      </c>
      <c r="I28" s="11">
        <f t="shared" si="3"/>
        <v>-219674000</v>
      </c>
      <c r="J28" s="53">
        <f t="shared" si="4"/>
        <v>-219674000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994</v>
      </c>
      <c r="H29" s="36">
        <f t="shared" si="2"/>
        <v>0</v>
      </c>
      <c r="I29" s="11">
        <f t="shared" si="3"/>
        <v>-497497000</v>
      </c>
      <c r="J29" s="53">
        <f t="shared" si="4"/>
        <v>0</v>
      </c>
      <c r="K29" s="53">
        <f t="shared" si="5"/>
        <v>-497497000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994</v>
      </c>
      <c r="H30" s="36">
        <f t="shared" si="2"/>
        <v>0</v>
      </c>
      <c r="I30" s="11">
        <f t="shared" si="3"/>
        <v>-14910000000</v>
      </c>
      <c r="J30" s="53">
        <f t="shared" si="4"/>
        <v>-14910000000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977</v>
      </c>
      <c r="H31" s="36">
        <f t="shared" si="2"/>
        <v>0</v>
      </c>
      <c r="I31" s="11">
        <f t="shared" si="3"/>
        <v>-2941649300</v>
      </c>
      <c r="J31" s="53">
        <f t="shared" si="4"/>
        <v>0</v>
      </c>
      <c r="K31" s="53">
        <f t="shared" si="5"/>
        <v>-2941649300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975</v>
      </c>
      <c r="H32" s="36">
        <f t="shared" si="2"/>
        <v>0</v>
      </c>
      <c r="I32" s="11">
        <f t="shared" si="3"/>
        <v>-2930752500</v>
      </c>
      <c r="J32" s="53">
        <f t="shared" si="4"/>
        <v>0</v>
      </c>
      <c r="K32" s="53">
        <f t="shared" si="5"/>
        <v>-2930752500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974</v>
      </c>
      <c r="H33" s="36">
        <f t="shared" si="2"/>
        <v>0</v>
      </c>
      <c r="I33" s="11">
        <f t="shared" si="3"/>
        <v>-872217000</v>
      </c>
      <c r="J33" s="53">
        <f t="shared" si="4"/>
        <v>0</v>
      </c>
      <c r="K33" s="53">
        <f t="shared" si="5"/>
        <v>-872217000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974</v>
      </c>
      <c r="H34" s="36">
        <f t="shared" si="2"/>
        <v>0</v>
      </c>
      <c r="I34" s="11">
        <f t="shared" si="3"/>
        <v>0</v>
      </c>
      <c r="J34" s="53">
        <f t="shared" si="4"/>
        <v>974000000</v>
      </c>
      <c r="K34" s="53">
        <f t="shared" si="5"/>
        <v>-974000000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965</v>
      </c>
      <c r="H35" s="36">
        <f t="shared" si="2"/>
        <v>1</v>
      </c>
      <c r="I35" s="11">
        <f t="shared" si="3"/>
        <v>50583008</v>
      </c>
      <c r="J35" s="53">
        <f t="shared" si="4"/>
        <v>-20883132</v>
      </c>
      <c r="K35" s="53">
        <f t="shared" si="5"/>
        <v>71466140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965</v>
      </c>
      <c r="H36" s="36">
        <f t="shared" si="2"/>
        <v>0</v>
      </c>
      <c r="I36" s="11">
        <f t="shared" si="3"/>
        <v>0</v>
      </c>
      <c r="J36" s="53">
        <f t="shared" si="4"/>
        <v>20904795</v>
      </c>
      <c r="K36" s="53">
        <f t="shared" si="5"/>
        <v>-20904795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955</v>
      </c>
      <c r="H37" s="36">
        <f t="shared" si="2"/>
        <v>0</v>
      </c>
      <c r="I37" s="11">
        <f t="shared" si="3"/>
        <v>-52525000</v>
      </c>
      <c r="J37" s="53">
        <f t="shared" si="4"/>
        <v>0</v>
      </c>
      <c r="K37" s="53">
        <f t="shared" si="5"/>
        <v>-52525000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954</v>
      </c>
      <c r="H38" s="36">
        <f t="shared" si="2"/>
        <v>1</v>
      </c>
      <c r="I38" s="11">
        <f t="shared" si="3"/>
        <v>2859000000</v>
      </c>
      <c r="J38" s="53">
        <f t="shared" si="4"/>
        <v>2859000000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953</v>
      </c>
      <c r="H39" s="36">
        <f t="shared" si="2"/>
        <v>1</v>
      </c>
      <c r="I39" s="11">
        <f t="shared" si="3"/>
        <v>2380000000</v>
      </c>
      <c r="J39" s="53">
        <f t="shared" si="4"/>
        <v>2380000000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953</v>
      </c>
      <c r="H40" s="36">
        <f t="shared" si="2"/>
        <v>0</v>
      </c>
      <c r="I40" s="11">
        <f t="shared" si="3"/>
        <v>-47650000</v>
      </c>
      <c r="J40" s="53">
        <f t="shared" si="4"/>
        <v>0</v>
      </c>
      <c r="K40" s="53">
        <f t="shared" si="5"/>
        <v>-47650000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953</v>
      </c>
      <c r="H41" s="36">
        <f t="shared" si="2"/>
        <v>1</v>
      </c>
      <c r="I41" s="11">
        <f t="shared" si="3"/>
        <v>2856000000</v>
      </c>
      <c r="J41" s="53">
        <f t="shared" si="4"/>
        <v>0</v>
      </c>
      <c r="K41" s="53">
        <f t="shared" si="5"/>
        <v>2856000000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950</v>
      </c>
      <c r="H42" s="36">
        <f t="shared" si="2"/>
        <v>0</v>
      </c>
      <c r="I42" s="11">
        <f t="shared" si="3"/>
        <v>-84740000</v>
      </c>
      <c r="J42" s="53">
        <f t="shared" si="4"/>
        <v>0</v>
      </c>
      <c r="K42" s="53">
        <f t="shared" si="5"/>
        <v>-84740000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946</v>
      </c>
      <c r="H43" s="36">
        <f t="shared" si="2"/>
        <v>0</v>
      </c>
      <c r="I43" s="11">
        <f t="shared" si="3"/>
        <v>-189200000</v>
      </c>
      <c r="J43" s="53">
        <f t="shared" si="4"/>
        <v>0</v>
      </c>
      <c r="K43" s="53">
        <f t="shared" si="5"/>
        <v>-189200000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944</v>
      </c>
      <c r="H44" s="36">
        <f t="shared" si="2"/>
        <v>0</v>
      </c>
      <c r="I44" s="11">
        <f t="shared" si="3"/>
        <v>-188800000</v>
      </c>
      <c r="J44" s="53">
        <f t="shared" si="4"/>
        <v>0</v>
      </c>
      <c r="K44" s="53">
        <f t="shared" si="5"/>
        <v>-188800000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944</v>
      </c>
      <c r="H45" s="36">
        <f t="shared" si="2"/>
        <v>0</v>
      </c>
      <c r="I45" s="11">
        <f t="shared" si="3"/>
        <v>-528640000</v>
      </c>
      <c r="J45" s="53">
        <f t="shared" si="4"/>
        <v>0</v>
      </c>
      <c r="K45" s="53">
        <f t="shared" si="5"/>
        <v>-528640000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940</v>
      </c>
      <c r="H46" s="36">
        <f t="shared" si="2"/>
        <v>0</v>
      </c>
      <c r="I46" s="11">
        <f t="shared" si="3"/>
        <v>-663170000</v>
      </c>
      <c r="J46" s="53">
        <f t="shared" si="4"/>
        <v>0</v>
      </c>
      <c r="K46" s="53">
        <f t="shared" si="5"/>
        <v>-663170000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934</v>
      </c>
      <c r="H47" s="36">
        <f t="shared" si="2"/>
        <v>1</v>
      </c>
      <c r="I47" s="11">
        <f t="shared" si="3"/>
        <v>38443332</v>
      </c>
      <c r="J47" s="53">
        <f t="shared" si="4"/>
        <v>6263229</v>
      </c>
      <c r="K47" s="53">
        <f t="shared" si="5"/>
        <v>32180103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934</v>
      </c>
      <c r="H48" s="36">
        <f t="shared" si="2"/>
        <v>1</v>
      </c>
      <c r="I48" s="11">
        <f t="shared" si="3"/>
        <v>1590485100</v>
      </c>
      <c r="J48" s="53">
        <f t="shared" si="4"/>
        <v>0</v>
      </c>
      <c r="K48" s="53">
        <f t="shared" si="5"/>
        <v>1590485100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925</v>
      </c>
      <c r="H49" s="36">
        <f t="shared" si="2"/>
        <v>0</v>
      </c>
      <c r="I49" s="11">
        <f t="shared" si="3"/>
        <v>-143375000</v>
      </c>
      <c r="J49" s="53">
        <f t="shared" si="4"/>
        <v>0</v>
      </c>
      <c r="K49" s="53">
        <f t="shared" si="5"/>
        <v>-143375000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925</v>
      </c>
      <c r="H50" s="36">
        <f t="shared" si="2"/>
        <v>0</v>
      </c>
      <c r="I50" s="11">
        <f t="shared" si="3"/>
        <v>-127650000</v>
      </c>
      <c r="J50" s="53">
        <f t="shared" si="4"/>
        <v>0</v>
      </c>
      <c r="K50" s="53">
        <f t="shared" si="5"/>
        <v>-127650000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925</v>
      </c>
      <c r="H51" s="36">
        <f t="shared" si="2"/>
        <v>0</v>
      </c>
      <c r="I51" s="11">
        <f t="shared" si="3"/>
        <v>-684500000</v>
      </c>
      <c r="J51" s="53">
        <f t="shared" si="4"/>
        <v>0</v>
      </c>
      <c r="K51" s="53">
        <f t="shared" si="5"/>
        <v>-684500000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925</v>
      </c>
      <c r="H52" s="36">
        <f t="shared" si="2"/>
        <v>0</v>
      </c>
      <c r="I52" s="11">
        <f t="shared" si="3"/>
        <v>-185000000</v>
      </c>
      <c r="J52" s="53">
        <f t="shared" si="4"/>
        <v>0</v>
      </c>
      <c r="K52" s="53">
        <f t="shared" si="5"/>
        <v>-185000000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924</v>
      </c>
      <c r="H53" s="36">
        <f t="shared" si="2"/>
        <v>0</v>
      </c>
      <c r="I53" s="11">
        <f t="shared" si="3"/>
        <v>-974820000</v>
      </c>
      <c r="J53" s="53">
        <f t="shared" si="4"/>
        <v>0</v>
      </c>
      <c r="K53" s="53">
        <f t="shared" si="5"/>
        <v>-974820000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924</v>
      </c>
      <c r="H54" s="36">
        <f t="shared" si="2"/>
        <v>0</v>
      </c>
      <c r="I54" s="11">
        <f t="shared" si="3"/>
        <v>-184800000</v>
      </c>
      <c r="J54" s="53">
        <f t="shared" si="4"/>
        <v>0</v>
      </c>
      <c r="K54" s="53">
        <f t="shared" si="5"/>
        <v>-184800000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924</v>
      </c>
      <c r="H55" s="36">
        <f t="shared" si="2"/>
        <v>0</v>
      </c>
      <c r="I55" s="11">
        <f t="shared" si="3"/>
        <v>-924462000</v>
      </c>
      <c r="J55" s="53">
        <f t="shared" si="4"/>
        <v>0</v>
      </c>
      <c r="K55" s="53">
        <f t="shared" si="5"/>
        <v>-924462000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924</v>
      </c>
      <c r="H56" s="36">
        <f t="shared" si="2"/>
        <v>0</v>
      </c>
      <c r="I56" s="11">
        <f t="shared" si="3"/>
        <v>-35112000</v>
      </c>
      <c r="J56" s="53">
        <f t="shared" si="4"/>
        <v>0</v>
      </c>
      <c r="K56" s="53">
        <f t="shared" si="5"/>
        <v>-35112000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924</v>
      </c>
      <c r="H57" s="36">
        <f t="shared" si="2"/>
        <v>0</v>
      </c>
      <c r="I57" s="11">
        <f t="shared" si="3"/>
        <v>-97020000</v>
      </c>
      <c r="J57" s="53">
        <f t="shared" si="4"/>
        <v>0</v>
      </c>
      <c r="K57" s="53">
        <f t="shared" si="5"/>
        <v>-97020000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924</v>
      </c>
      <c r="H58" s="36">
        <f t="shared" si="2"/>
        <v>0</v>
      </c>
      <c r="I58" s="11">
        <f t="shared" si="3"/>
        <v>-55440000</v>
      </c>
      <c r="J58" s="53">
        <f t="shared" si="4"/>
        <v>0</v>
      </c>
      <c r="K58" s="53">
        <f t="shared" si="5"/>
        <v>-55440000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921</v>
      </c>
      <c r="H59" s="36">
        <f t="shared" si="2"/>
        <v>1</v>
      </c>
      <c r="I59" s="11">
        <f t="shared" si="3"/>
        <v>920000000</v>
      </c>
      <c r="J59" s="53">
        <f t="shared" si="4"/>
        <v>920000000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920</v>
      </c>
      <c r="H60" s="36">
        <f t="shared" si="2"/>
        <v>1</v>
      </c>
      <c r="I60" s="11">
        <f t="shared" si="3"/>
        <v>3216500000</v>
      </c>
      <c r="J60" s="53">
        <f t="shared" si="4"/>
        <v>3216500000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918</v>
      </c>
      <c r="H61" s="36">
        <f t="shared" si="2"/>
        <v>1</v>
      </c>
      <c r="I61" s="11">
        <f t="shared" si="3"/>
        <v>917000000</v>
      </c>
      <c r="J61" s="53">
        <f t="shared" si="4"/>
        <v>917000000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918</v>
      </c>
      <c r="H62" s="36">
        <f t="shared" si="2"/>
        <v>1</v>
      </c>
      <c r="I62" s="11">
        <f t="shared" si="3"/>
        <v>2751000000</v>
      </c>
      <c r="J62" s="53">
        <f t="shared" si="4"/>
        <v>2751000000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916</v>
      </c>
      <c r="H63" s="36">
        <f t="shared" si="2"/>
        <v>0</v>
      </c>
      <c r="I63" s="11">
        <f t="shared" si="3"/>
        <v>-183200000</v>
      </c>
      <c r="J63" s="53">
        <f t="shared" si="4"/>
        <v>0</v>
      </c>
      <c r="K63" s="53">
        <f t="shared" si="5"/>
        <v>-183200000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911</v>
      </c>
      <c r="H64" s="36">
        <f t="shared" si="2"/>
        <v>0</v>
      </c>
      <c r="I64" s="11">
        <f t="shared" si="3"/>
        <v>-45550000</v>
      </c>
      <c r="J64" s="53">
        <f t="shared" si="4"/>
        <v>0</v>
      </c>
      <c r="K64" s="53">
        <f t="shared" si="5"/>
        <v>-45550000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907</v>
      </c>
      <c r="H65" s="36">
        <f t="shared" si="2"/>
        <v>0</v>
      </c>
      <c r="I65" s="11">
        <f t="shared" si="3"/>
        <v>-181400000</v>
      </c>
      <c r="J65" s="53">
        <f t="shared" si="4"/>
        <v>0</v>
      </c>
      <c r="K65" s="53">
        <f t="shared" si="5"/>
        <v>-181400000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904</v>
      </c>
      <c r="H66" s="36">
        <f t="shared" si="2"/>
        <v>0</v>
      </c>
      <c r="I66" s="11">
        <f t="shared" si="3"/>
        <v>-153680000</v>
      </c>
      <c r="J66" s="53">
        <f t="shared" si="4"/>
        <v>0</v>
      </c>
      <c r="K66" s="53">
        <f t="shared" si="5"/>
        <v>-153680000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903</v>
      </c>
      <c r="H67" s="36">
        <f t="shared" ref="H67:H131" si="8">IF(B67&gt;0,1,0)</f>
        <v>1</v>
      </c>
      <c r="I67" s="11">
        <f t="shared" ref="I67:I119" si="9">B67*(G67-H67)</f>
        <v>82375150</v>
      </c>
      <c r="J67" s="53">
        <f t="shared" ref="J67:J131" si="10">C67*(G67-H67)</f>
        <v>59282146</v>
      </c>
      <c r="K67" s="53">
        <f t="shared" ref="K67:K131" si="11">D67*(G67-H67)</f>
        <v>23093004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885</v>
      </c>
      <c r="H68" s="36">
        <f t="shared" si="8"/>
        <v>0</v>
      </c>
      <c r="I68" s="11">
        <f t="shared" si="9"/>
        <v>-128325000</v>
      </c>
      <c r="J68" s="53">
        <f t="shared" si="10"/>
        <v>0</v>
      </c>
      <c r="K68" s="53">
        <f t="shared" si="11"/>
        <v>-128325000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878</v>
      </c>
      <c r="H69" s="36">
        <f t="shared" si="8"/>
        <v>1</v>
      </c>
      <c r="I69" s="11">
        <f t="shared" si="9"/>
        <v>859460000</v>
      </c>
      <c r="J69" s="53">
        <f t="shared" si="10"/>
        <v>0</v>
      </c>
      <c r="K69" s="53">
        <f t="shared" si="11"/>
        <v>859460000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875</v>
      </c>
      <c r="H70" s="36">
        <f t="shared" si="8"/>
        <v>0</v>
      </c>
      <c r="I70" s="11">
        <f t="shared" si="9"/>
        <v>-40250000</v>
      </c>
      <c r="J70" s="53">
        <f t="shared" si="10"/>
        <v>0</v>
      </c>
      <c r="K70" s="53">
        <f t="shared" si="11"/>
        <v>-40250000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873</v>
      </c>
      <c r="H71" s="36">
        <f t="shared" si="8"/>
        <v>1</v>
      </c>
      <c r="I71" s="11">
        <f t="shared" si="9"/>
        <v>100574736</v>
      </c>
      <c r="J71" s="53">
        <f t="shared" si="10"/>
        <v>90524064</v>
      </c>
      <c r="K71" s="53">
        <f t="shared" si="11"/>
        <v>10050672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872</v>
      </c>
      <c r="H72" s="36">
        <f t="shared" si="8"/>
        <v>0</v>
      </c>
      <c r="I72" s="11">
        <f t="shared" si="9"/>
        <v>-132516968</v>
      </c>
      <c r="J72" s="53">
        <f t="shared" si="10"/>
        <v>0</v>
      </c>
      <c r="K72" s="53">
        <f t="shared" si="11"/>
        <v>-132516968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871</v>
      </c>
      <c r="H73" s="36">
        <f t="shared" si="8"/>
        <v>0</v>
      </c>
      <c r="I73" s="11">
        <f t="shared" si="9"/>
        <v>-701590500</v>
      </c>
      <c r="J73" s="53">
        <f t="shared" si="10"/>
        <v>0</v>
      </c>
      <c r="K73" s="53">
        <f t="shared" si="11"/>
        <v>-701590500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864</v>
      </c>
      <c r="H74" s="36">
        <f t="shared" si="8"/>
        <v>1</v>
      </c>
      <c r="I74" s="11">
        <f t="shared" si="9"/>
        <v>6036685000</v>
      </c>
      <c r="J74" s="53">
        <f t="shared" si="10"/>
        <v>0</v>
      </c>
      <c r="K74" s="53">
        <f t="shared" si="11"/>
        <v>6036685000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863</v>
      </c>
      <c r="H75" s="36">
        <f t="shared" si="8"/>
        <v>1</v>
      </c>
      <c r="I75" s="11">
        <f t="shared" si="9"/>
        <v>2586000000</v>
      </c>
      <c r="J75" s="53">
        <f t="shared" si="10"/>
        <v>0</v>
      </c>
      <c r="K75" s="53">
        <f t="shared" si="11"/>
        <v>2586000000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861</v>
      </c>
      <c r="H76" s="36">
        <f t="shared" si="8"/>
        <v>1</v>
      </c>
      <c r="I76" s="11">
        <f t="shared" si="9"/>
        <v>2580000000</v>
      </c>
      <c r="J76" s="53">
        <f t="shared" si="10"/>
        <v>0</v>
      </c>
      <c r="K76" s="53">
        <f t="shared" si="11"/>
        <v>2580000000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860</v>
      </c>
      <c r="H77" s="36">
        <f t="shared" si="8"/>
        <v>1</v>
      </c>
      <c r="I77" s="11">
        <f t="shared" si="9"/>
        <v>2577000000</v>
      </c>
      <c r="J77" s="53">
        <f t="shared" si="10"/>
        <v>0</v>
      </c>
      <c r="K77" s="53">
        <f t="shared" si="11"/>
        <v>2577000000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859</v>
      </c>
      <c r="H78" s="36">
        <f t="shared" si="8"/>
        <v>0</v>
      </c>
      <c r="I78" s="11">
        <f t="shared" si="9"/>
        <v>-2748800000</v>
      </c>
      <c r="J78" s="53">
        <f t="shared" si="10"/>
        <v>-2748800000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858</v>
      </c>
      <c r="H79" s="36">
        <f t="shared" si="8"/>
        <v>0</v>
      </c>
      <c r="I79" s="11">
        <f t="shared" si="9"/>
        <v>-686400000</v>
      </c>
      <c r="J79" s="53">
        <f t="shared" si="10"/>
        <v>-686400000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857</v>
      </c>
      <c r="H80" s="36">
        <f t="shared" si="8"/>
        <v>0</v>
      </c>
      <c r="I80" s="11">
        <f t="shared" si="9"/>
        <v>-41472801</v>
      </c>
      <c r="J80" s="53">
        <f t="shared" si="10"/>
        <v>0</v>
      </c>
      <c r="K80" s="53">
        <f t="shared" si="11"/>
        <v>-41472801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856</v>
      </c>
      <c r="H81" s="36">
        <f t="shared" si="8"/>
        <v>0</v>
      </c>
      <c r="I81" s="11">
        <f t="shared" si="9"/>
        <v>-119840000</v>
      </c>
      <c r="J81" s="53">
        <f t="shared" si="10"/>
        <v>0</v>
      </c>
      <c r="K81" s="53">
        <f t="shared" si="11"/>
        <v>-119840000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855</v>
      </c>
      <c r="H82" s="36">
        <f t="shared" si="8"/>
        <v>0</v>
      </c>
      <c r="I82" s="11">
        <f t="shared" si="9"/>
        <v>-213750000</v>
      </c>
      <c r="J82" s="53">
        <f t="shared" si="10"/>
        <v>0</v>
      </c>
      <c r="K82" s="53">
        <f t="shared" si="11"/>
        <v>-213750000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854</v>
      </c>
      <c r="H83" s="36">
        <f t="shared" si="8"/>
        <v>0</v>
      </c>
      <c r="I83" s="11">
        <f t="shared" si="9"/>
        <v>-170800000</v>
      </c>
      <c r="J83" s="53">
        <f t="shared" si="10"/>
        <v>0</v>
      </c>
      <c r="K83" s="53">
        <f t="shared" si="11"/>
        <v>-170800000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851</v>
      </c>
      <c r="H84" s="36">
        <f t="shared" si="8"/>
        <v>1</v>
      </c>
      <c r="I84" s="11">
        <f t="shared" si="9"/>
        <v>1389920000</v>
      </c>
      <c r="J84" s="53">
        <f t="shared" si="10"/>
        <v>0</v>
      </c>
      <c r="K84" s="53">
        <f t="shared" si="11"/>
        <v>1389920000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847</v>
      </c>
      <c r="H85" s="36">
        <f t="shared" si="8"/>
        <v>1</v>
      </c>
      <c r="I85" s="11">
        <f t="shared" si="9"/>
        <v>2115000000</v>
      </c>
      <c r="J85" s="53">
        <f t="shared" si="10"/>
        <v>0</v>
      </c>
      <c r="K85" s="53">
        <f t="shared" si="11"/>
        <v>2115000000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843</v>
      </c>
      <c r="H86" s="36">
        <f t="shared" si="8"/>
        <v>1</v>
      </c>
      <c r="I86" s="11">
        <f t="shared" si="9"/>
        <v>156864600</v>
      </c>
      <c r="J86" s="53">
        <f t="shared" si="10"/>
        <v>71527900</v>
      </c>
      <c r="K86" s="53">
        <f t="shared" si="11"/>
        <v>85336700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840</v>
      </c>
      <c r="H87" s="36">
        <f t="shared" si="8"/>
        <v>0</v>
      </c>
      <c r="I87" s="11">
        <f t="shared" si="9"/>
        <v>-168000000</v>
      </c>
      <c r="J87" s="53">
        <f t="shared" si="10"/>
        <v>0</v>
      </c>
      <c r="K87" s="53">
        <f t="shared" si="11"/>
        <v>-168000000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839</v>
      </c>
      <c r="H88" s="36">
        <f t="shared" si="8"/>
        <v>0</v>
      </c>
      <c r="I88" s="11">
        <f t="shared" si="9"/>
        <v>-99002000</v>
      </c>
      <c r="J88" s="53">
        <f t="shared" si="10"/>
        <v>-57891000</v>
      </c>
      <c r="K88" s="53">
        <f t="shared" si="11"/>
        <v>-41111000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831</v>
      </c>
      <c r="H89" s="36">
        <f t="shared" si="8"/>
        <v>0</v>
      </c>
      <c r="I89" s="11">
        <f t="shared" si="9"/>
        <v>-2659947900</v>
      </c>
      <c r="J89" s="53">
        <f t="shared" si="10"/>
        <v>0</v>
      </c>
      <c r="K89" s="53">
        <f t="shared" si="11"/>
        <v>-2659947900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830</v>
      </c>
      <c r="H90" s="36">
        <f t="shared" si="8"/>
        <v>0</v>
      </c>
      <c r="I90" s="11">
        <f t="shared" si="9"/>
        <v>-2656747000</v>
      </c>
      <c r="J90" s="53">
        <f t="shared" si="10"/>
        <v>0</v>
      </c>
      <c r="K90" s="53">
        <f t="shared" si="11"/>
        <v>-2656747000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829</v>
      </c>
      <c r="H91" s="36">
        <f t="shared" si="8"/>
        <v>0</v>
      </c>
      <c r="I91" s="11">
        <f t="shared" si="9"/>
        <v>-2653546100</v>
      </c>
      <c r="J91" s="53">
        <f t="shared" si="10"/>
        <v>0</v>
      </c>
      <c r="K91" s="53">
        <f t="shared" si="11"/>
        <v>-2653546100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828</v>
      </c>
      <c r="H92" s="36">
        <f t="shared" si="8"/>
        <v>0</v>
      </c>
      <c r="I92" s="11">
        <f t="shared" si="9"/>
        <v>-2650345200</v>
      </c>
      <c r="J92" s="53">
        <f t="shared" si="10"/>
        <v>0</v>
      </c>
      <c r="K92" s="53">
        <f t="shared" si="11"/>
        <v>-2650345200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827</v>
      </c>
      <c r="H93" s="36">
        <f t="shared" si="8"/>
        <v>0</v>
      </c>
      <c r="I93" s="11">
        <f t="shared" si="9"/>
        <v>-2647144300</v>
      </c>
      <c r="J93" s="53">
        <f t="shared" si="10"/>
        <v>0</v>
      </c>
      <c r="K93" s="53">
        <f t="shared" si="11"/>
        <v>-2647144300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826</v>
      </c>
      <c r="H94" s="36">
        <f t="shared" si="8"/>
        <v>0</v>
      </c>
      <c r="I94" s="11">
        <f t="shared" si="9"/>
        <v>-2643943400</v>
      </c>
      <c r="J94" s="53">
        <f t="shared" si="10"/>
        <v>0</v>
      </c>
      <c r="K94" s="53">
        <f t="shared" si="11"/>
        <v>-2643943400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824</v>
      </c>
      <c r="H95" s="36">
        <f t="shared" si="8"/>
        <v>0</v>
      </c>
      <c r="I95" s="11">
        <f t="shared" si="9"/>
        <v>-985995104</v>
      </c>
      <c r="J95" s="53">
        <f t="shared" si="10"/>
        <v>0</v>
      </c>
      <c r="K95" s="53">
        <f t="shared" si="11"/>
        <v>-985995104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814</v>
      </c>
      <c r="H96" s="36">
        <f t="shared" si="8"/>
        <v>0</v>
      </c>
      <c r="I96" s="11">
        <f t="shared" si="9"/>
        <v>-162800000</v>
      </c>
      <c r="J96" s="53">
        <f t="shared" si="10"/>
        <v>0</v>
      </c>
      <c r="K96" s="53">
        <f t="shared" si="11"/>
        <v>-162800000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813</v>
      </c>
      <c r="H97" s="36">
        <f t="shared" si="8"/>
        <v>1</v>
      </c>
      <c r="I97" s="11">
        <f t="shared" si="9"/>
        <v>129561096</v>
      </c>
      <c r="J97" s="53">
        <f t="shared" si="10"/>
        <v>55967912</v>
      </c>
      <c r="K97" s="53">
        <f t="shared" si="11"/>
        <v>73593184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808</v>
      </c>
      <c r="H98" s="36">
        <f t="shared" si="8"/>
        <v>1</v>
      </c>
      <c r="I98" s="11">
        <f t="shared" si="9"/>
        <v>92294976</v>
      </c>
      <c r="J98" s="53">
        <f t="shared" si="10"/>
        <v>0</v>
      </c>
      <c r="K98" s="53">
        <f t="shared" si="11"/>
        <v>92294976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805</v>
      </c>
      <c r="H99" s="36">
        <f t="shared" si="8"/>
        <v>0</v>
      </c>
      <c r="I99" s="11">
        <f t="shared" si="9"/>
        <v>-1066625000</v>
      </c>
      <c r="J99" s="53">
        <f t="shared" si="10"/>
        <v>0</v>
      </c>
      <c r="K99" s="53">
        <f t="shared" si="11"/>
        <v>-1066625000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800</v>
      </c>
      <c r="H100" s="36">
        <f t="shared" si="8"/>
        <v>1</v>
      </c>
      <c r="I100" s="11">
        <f t="shared" si="9"/>
        <v>1058675000</v>
      </c>
      <c r="J100" s="53">
        <f t="shared" si="10"/>
        <v>0</v>
      </c>
      <c r="K100" s="53">
        <f t="shared" si="11"/>
        <v>1058675000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783</v>
      </c>
      <c r="H101" s="36">
        <f t="shared" si="8"/>
        <v>1</v>
      </c>
      <c r="I101" s="11">
        <f t="shared" si="9"/>
        <v>52272790</v>
      </c>
      <c r="J101" s="53">
        <f t="shared" si="10"/>
        <v>52272790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780</v>
      </c>
      <c r="H102" s="36">
        <f t="shared" si="8"/>
        <v>1</v>
      </c>
      <c r="I102" s="11">
        <f t="shared" si="9"/>
        <v>2337000000</v>
      </c>
      <c r="J102" s="53">
        <f t="shared" si="10"/>
        <v>0</v>
      </c>
      <c r="K102" s="53">
        <f t="shared" si="11"/>
        <v>2337000000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773</v>
      </c>
      <c r="H103" s="36">
        <f t="shared" si="8"/>
        <v>0</v>
      </c>
      <c r="I103" s="11">
        <f t="shared" si="9"/>
        <v>-773000000</v>
      </c>
      <c r="J103" s="53">
        <f t="shared" si="10"/>
        <v>-773000000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763</v>
      </c>
      <c r="H104" s="36">
        <f t="shared" si="8"/>
        <v>1</v>
      </c>
      <c r="I104" s="11">
        <f t="shared" si="9"/>
        <v>2286000000</v>
      </c>
      <c r="J104" s="53">
        <f t="shared" si="10"/>
        <v>2286000000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762</v>
      </c>
      <c r="H105" s="36">
        <f t="shared" si="8"/>
        <v>1</v>
      </c>
      <c r="I105" s="11">
        <f t="shared" si="9"/>
        <v>852320000</v>
      </c>
      <c r="J105" s="53">
        <f t="shared" si="10"/>
        <v>852320000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762</v>
      </c>
      <c r="H106" s="36">
        <f t="shared" si="8"/>
        <v>0</v>
      </c>
      <c r="I106" s="11">
        <f t="shared" si="9"/>
        <v>-2286000000</v>
      </c>
      <c r="J106" s="53">
        <f t="shared" si="10"/>
        <v>0</v>
      </c>
      <c r="K106" s="53">
        <f t="shared" si="11"/>
        <v>-2286000000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753</v>
      </c>
      <c r="H107" s="36">
        <f t="shared" si="8"/>
        <v>1</v>
      </c>
      <c r="I107" s="11">
        <f t="shared" si="9"/>
        <v>68051488</v>
      </c>
      <c r="J107" s="53">
        <f t="shared" si="10"/>
        <v>56486480</v>
      </c>
      <c r="K107" s="53">
        <f t="shared" si="11"/>
        <v>11565008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751</v>
      </c>
      <c r="H108" s="36">
        <f t="shared" si="8"/>
        <v>0</v>
      </c>
      <c r="I108" s="11">
        <f t="shared" si="9"/>
        <v>-1277225700</v>
      </c>
      <c r="J108" s="53">
        <f t="shared" si="10"/>
        <v>0</v>
      </c>
      <c r="K108" s="53">
        <f t="shared" si="11"/>
        <v>-1277225700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747</v>
      </c>
      <c r="H109" s="36">
        <f t="shared" si="8"/>
        <v>0</v>
      </c>
      <c r="I109" s="11">
        <f t="shared" si="9"/>
        <v>-747373500</v>
      </c>
      <c r="J109" s="53">
        <f t="shared" si="10"/>
        <v>0</v>
      </c>
      <c r="K109" s="53">
        <f t="shared" si="11"/>
        <v>-747373500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744</v>
      </c>
      <c r="H110" s="36">
        <f t="shared" si="8"/>
        <v>1</v>
      </c>
      <c r="I110" s="11">
        <f t="shared" si="9"/>
        <v>14860000000</v>
      </c>
      <c r="J110" s="53">
        <f t="shared" si="10"/>
        <v>0</v>
      </c>
      <c r="K110" s="53">
        <f t="shared" si="11"/>
        <v>14860000000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724</v>
      </c>
      <c r="H111" s="36">
        <f t="shared" si="8"/>
        <v>1</v>
      </c>
      <c r="I111" s="11">
        <f t="shared" si="9"/>
        <v>126292194</v>
      </c>
      <c r="J111" s="53">
        <f t="shared" si="10"/>
        <v>63163449</v>
      </c>
      <c r="K111" s="53">
        <f t="shared" si="11"/>
        <v>63128745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708</v>
      </c>
      <c r="H112" s="36">
        <f t="shared" si="8"/>
        <v>0</v>
      </c>
      <c r="I112" s="11">
        <f t="shared" si="9"/>
        <v>-20107200000</v>
      </c>
      <c r="J112" s="53">
        <f t="shared" si="10"/>
        <v>0</v>
      </c>
      <c r="K112" s="53">
        <f t="shared" si="11"/>
        <v>-20107200000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693</v>
      </c>
      <c r="H113" s="36">
        <f t="shared" si="8"/>
        <v>1</v>
      </c>
      <c r="I113" s="11">
        <f t="shared" si="9"/>
        <v>112823680</v>
      </c>
      <c r="J113" s="53">
        <f t="shared" si="10"/>
        <v>84777612</v>
      </c>
      <c r="K113" s="53">
        <f t="shared" si="11"/>
        <v>28046068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693</v>
      </c>
      <c r="H114" s="36">
        <f t="shared" si="8"/>
        <v>0</v>
      </c>
      <c r="I114" s="11">
        <f t="shared" si="9"/>
        <v>-3950100</v>
      </c>
      <c r="J114" s="53">
        <f t="shared" si="10"/>
        <v>-1732500</v>
      </c>
      <c r="K114" s="53">
        <f t="shared" si="11"/>
        <v>-2217600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680</v>
      </c>
      <c r="H115" s="36">
        <f t="shared" si="8"/>
        <v>0</v>
      </c>
      <c r="I115" s="11">
        <f t="shared" si="9"/>
        <v>0</v>
      </c>
      <c r="J115" s="53">
        <f t="shared" si="10"/>
        <v>340000000</v>
      </c>
      <c r="K115" s="53">
        <f t="shared" si="11"/>
        <v>-340000000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672</v>
      </c>
      <c r="H116" s="36">
        <f t="shared" si="8"/>
        <v>0</v>
      </c>
      <c r="I116" s="11">
        <f t="shared" si="9"/>
        <v>-107520000</v>
      </c>
      <c r="J116" s="53">
        <f t="shared" si="10"/>
        <v>0</v>
      </c>
      <c r="K116" s="53">
        <f t="shared" si="11"/>
        <v>-107520000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663</v>
      </c>
      <c r="H117" s="36">
        <f t="shared" si="8"/>
        <v>1</v>
      </c>
      <c r="I117" s="11">
        <f t="shared" si="9"/>
        <v>979760</v>
      </c>
      <c r="J117" s="53">
        <f t="shared" si="10"/>
        <v>70794942</v>
      </c>
      <c r="K117" s="53">
        <f t="shared" si="11"/>
        <v>-69815182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641</v>
      </c>
      <c r="H118" s="36">
        <f t="shared" si="8"/>
        <v>1</v>
      </c>
      <c r="I118" s="11">
        <f t="shared" si="9"/>
        <v>25215680000</v>
      </c>
      <c r="J118" s="53">
        <f t="shared" si="10"/>
        <v>0</v>
      </c>
      <c r="K118" s="53">
        <f t="shared" si="11"/>
        <v>25215680000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632</v>
      </c>
      <c r="H119" s="36">
        <f t="shared" si="8"/>
        <v>1</v>
      </c>
      <c r="I119" s="11">
        <f t="shared" si="9"/>
        <v>60273751</v>
      </c>
      <c r="J119" s="53">
        <f t="shared" si="10"/>
        <v>69444074</v>
      </c>
      <c r="K119" s="53">
        <f t="shared" si="11"/>
        <v>-9170323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628</v>
      </c>
      <c r="H120" s="11">
        <f t="shared" si="8"/>
        <v>1</v>
      </c>
      <c r="I120" s="11">
        <f t="shared" ref="I120:I296" si="13">B120*(G120-H120)</f>
        <v>1254000000</v>
      </c>
      <c r="J120" s="11">
        <f t="shared" si="10"/>
        <v>0</v>
      </c>
      <c r="K120" s="11">
        <f t="shared" si="11"/>
        <v>1254000000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602</v>
      </c>
      <c r="H121" s="11">
        <f t="shared" si="8"/>
        <v>1</v>
      </c>
      <c r="I121" s="11">
        <f t="shared" si="13"/>
        <v>1562600000</v>
      </c>
      <c r="J121" s="11">
        <f t="shared" si="10"/>
        <v>0</v>
      </c>
      <c r="K121" s="11">
        <f t="shared" si="11"/>
        <v>1562600000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601</v>
      </c>
      <c r="H122" s="11">
        <f t="shared" si="8"/>
        <v>1</v>
      </c>
      <c r="I122" s="11">
        <f t="shared" si="13"/>
        <v>230730600</v>
      </c>
      <c r="J122" s="11">
        <f t="shared" si="10"/>
        <v>66544800</v>
      </c>
      <c r="K122" s="11">
        <f t="shared" si="11"/>
        <v>164185800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600</v>
      </c>
      <c r="H123" s="11">
        <f t="shared" si="8"/>
        <v>0</v>
      </c>
      <c r="I123" s="11">
        <f t="shared" si="13"/>
        <v>0</v>
      </c>
      <c r="J123" s="11">
        <f t="shared" si="10"/>
        <v>480000000</v>
      </c>
      <c r="K123" s="11">
        <f t="shared" si="11"/>
        <v>-480000000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586</v>
      </c>
      <c r="H124" s="11">
        <f t="shared" si="8"/>
        <v>0</v>
      </c>
      <c r="I124" s="11">
        <f t="shared" si="13"/>
        <v>-1758000000</v>
      </c>
      <c r="J124" s="11">
        <f t="shared" si="10"/>
        <v>0</v>
      </c>
      <c r="K124" s="11">
        <f t="shared" si="11"/>
        <v>-1758000000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571</v>
      </c>
      <c r="H125" s="11">
        <f t="shared" si="8"/>
        <v>1</v>
      </c>
      <c r="I125" s="11">
        <f t="shared" si="13"/>
        <v>228404700</v>
      </c>
      <c r="J125" s="11">
        <f t="shared" si="10"/>
        <v>67758750</v>
      </c>
      <c r="K125" s="11">
        <f t="shared" si="11"/>
        <v>160645950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571</v>
      </c>
      <c r="H126" s="11">
        <f t="shared" si="8"/>
        <v>1</v>
      </c>
      <c r="I126" s="11">
        <f t="shared" si="13"/>
        <v>23940000000</v>
      </c>
      <c r="J126" s="11">
        <f t="shared" si="10"/>
        <v>0</v>
      </c>
      <c r="K126" s="11">
        <f t="shared" si="11"/>
        <v>23940000000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546</v>
      </c>
      <c r="H127" s="11">
        <f t="shared" si="8"/>
        <v>0</v>
      </c>
      <c r="I127" s="11">
        <f t="shared" si="13"/>
        <v>-2730000</v>
      </c>
      <c r="J127" s="11">
        <f t="shared" si="10"/>
        <v>0</v>
      </c>
      <c r="K127" s="11">
        <f t="shared" si="11"/>
        <v>-2730000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540</v>
      </c>
      <c r="H128" s="11">
        <f t="shared" si="8"/>
        <v>1</v>
      </c>
      <c r="I128" s="11">
        <f t="shared" si="13"/>
        <v>415770586</v>
      </c>
      <c r="J128" s="11">
        <f t="shared" si="10"/>
        <v>65055683</v>
      </c>
      <c r="K128" s="11">
        <f t="shared" si="11"/>
        <v>350714903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537</v>
      </c>
      <c r="H129" s="11">
        <f t="shared" si="8"/>
        <v>1</v>
      </c>
      <c r="I129" s="11">
        <f t="shared" si="13"/>
        <v>1340000000</v>
      </c>
      <c r="J129" s="11">
        <f t="shared" si="10"/>
        <v>0</v>
      </c>
      <c r="K129" s="11">
        <f t="shared" si="11"/>
        <v>1340000000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523</v>
      </c>
      <c r="H130" s="11">
        <f t="shared" si="8"/>
        <v>0</v>
      </c>
      <c r="I130" s="11">
        <f t="shared" si="13"/>
        <v>-523000000</v>
      </c>
      <c r="J130" s="11">
        <f t="shared" si="10"/>
        <v>-523000000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518</v>
      </c>
      <c r="H131" s="11">
        <f t="shared" si="8"/>
        <v>0</v>
      </c>
      <c r="I131" s="11">
        <f t="shared" si="13"/>
        <v>-25900000000</v>
      </c>
      <c r="J131" s="11">
        <f t="shared" si="10"/>
        <v>0</v>
      </c>
      <c r="K131" s="11">
        <f t="shared" si="11"/>
        <v>-25900000000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510</v>
      </c>
      <c r="H132" s="11">
        <f t="shared" ref="H132:H308" si="15">IF(B132&gt;0,1,0)</f>
        <v>1</v>
      </c>
      <c r="I132" s="11">
        <f t="shared" si="13"/>
        <v>312672083</v>
      </c>
      <c r="J132" s="11">
        <f t="shared" ref="J132:J206" si="16">C132*(G132-H132)</f>
        <v>53939239</v>
      </c>
      <c r="K132" s="11">
        <f t="shared" ref="K132:K281" si="17">D132*(G132-H132)</f>
        <v>258732844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506</v>
      </c>
      <c r="H133" s="11">
        <f t="shared" si="15"/>
        <v>0</v>
      </c>
      <c r="I133" s="11">
        <f t="shared" si="13"/>
        <v>-612614200</v>
      </c>
      <c r="J133" s="11">
        <f t="shared" si="16"/>
        <v>0</v>
      </c>
      <c r="K133" s="11">
        <f t="shared" si="17"/>
        <v>-612614200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497</v>
      </c>
      <c r="H134" s="11">
        <f t="shared" si="15"/>
        <v>0</v>
      </c>
      <c r="I134" s="11">
        <f t="shared" si="13"/>
        <v>-32305000</v>
      </c>
      <c r="J134" s="11">
        <f t="shared" si="16"/>
        <v>0</v>
      </c>
      <c r="K134" s="11">
        <f t="shared" si="17"/>
        <v>-32305000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497</v>
      </c>
      <c r="H135" s="11">
        <f t="shared" si="15"/>
        <v>0</v>
      </c>
      <c r="I135" s="11">
        <f t="shared" si="13"/>
        <v>-16053100</v>
      </c>
      <c r="J135" s="11">
        <f t="shared" si="16"/>
        <v>0</v>
      </c>
      <c r="K135" s="11">
        <f t="shared" si="17"/>
        <v>-16053100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489</v>
      </c>
      <c r="H136" s="11">
        <f t="shared" si="15"/>
        <v>0</v>
      </c>
      <c r="I136" s="11">
        <f t="shared" si="13"/>
        <v>-489000000</v>
      </c>
      <c r="J136" s="11">
        <f t="shared" si="16"/>
        <v>-489000000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480</v>
      </c>
      <c r="H137" s="11">
        <f t="shared" si="15"/>
        <v>1</v>
      </c>
      <c r="I137" s="11">
        <f t="shared" si="13"/>
        <v>139328167</v>
      </c>
      <c r="J137" s="11">
        <f t="shared" si="16"/>
        <v>46634961</v>
      </c>
      <c r="K137" s="11">
        <f t="shared" si="17"/>
        <v>92693206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463</v>
      </c>
      <c r="H138" s="11">
        <f t="shared" si="15"/>
        <v>0</v>
      </c>
      <c r="I138" s="11">
        <f t="shared" si="13"/>
        <v>-463231500</v>
      </c>
      <c r="J138" s="11">
        <f t="shared" si="16"/>
        <v>-463231500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451</v>
      </c>
      <c r="H139" s="11">
        <f t="shared" si="15"/>
        <v>1</v>
      </c>
      <c r="I139" s="11">
        <f t="shared" si="13"/>
        <v>127008000</v>
      </c>
      <c r="J139" s="11">
        <f t="shared" si="16"/>
        <v>39963150</v>
      </c>
      <c r="K139" s="11">
        <f t="shared" si="17"/>
        <v>87044850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448</v>
      </c>
      <c r="H140" s="11">
        <f t="shared" si="15"/>
        <v>1</v>
      </c>
      <c r="I140" s="11">
        <f t="shared" si="13"/>
        <v>670500000</v>
      </c>
      <c r="J140" s="11">
        <f t="shared" si="16"/>
        <v>0</v>
      </c>
      <c r="K140" s="11">
        <f t="shared" si="17"/>
        <v>670500000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435</v>
      </c>
      <c r="H141" s="11">
        <f t="shared" si="15"/>
        <v>0</v>
      </c>
      <c r="I141" s="11">
        <f t="shared" si="13"/>
        <v>0</v>
      </c>
      <c r="J141" s="11">
        <f t="shared" si="16"/>
        <v>-435000000</v>
      </c>
      <c r="K141" s="11">
        <f t="shared" si="17"/>
        <v>435000000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421</v>
      </c>
      <c r="H142" s="11">
        <f t="shared" si="15"/>
        <v>1</v>
      </c>
      <c r="I142" s="11">
        <f t="shared" si="13"/>
        <v>122175060</v>
      </c>
      <c r="J142" s="11">
        <f t="shared" si="16"/>
        <v>34029240</v>
      </c>
      <c r="K142" s="11">
        <f t="shared" si="17"/>
        <v>88145820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401</v>
      </c>
      <c r="H143" s="11">
        <f t="shared" si="15"/>
        <v>0</v>
      </c>
      <c r="I143" s="11">
        <f t="shared" si="13"/>
        <v>0</v>
      </c>
      <c r="J143" s="11">
        <f t="shared" si="16"/>
        <v>-401000000</v>
      </c>
      <c r="K143" s="11">
        <f t="shared" si="17"/>
        <v>401000000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391</v>
      </c>
      <c r="H144" s="11">
        <f t="shared" si="15"/>
        <v>1</v>
      </c>
      <c r="I144" s="11">
        <f t="shared" si="13"/>
        <v>114992280</v>
      </c>
      <c r="J144" s="11">
        <f t="shared" si="16"/>
        <v>29116230</v>
      </c>
      <c r="K144" s="11">
        <f t="shared" si="17"/>
        <v>85876050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376</v>
      </c>
      <c r="H145" s="11">
        <f t="shared" si="15"/>
        <v>0</v>
      </c>
      <c r="I145" s="11">
        <f t="shared" si="13"/>
        <v>-3760000</v>
      </c>
      <c r="J145" s="11">
        <f t="shared" si="16"/>
        <v>-1880000</v>
      </c>
      <c r="K145" s="11">
        <f t="shared" si="17"/>
        <v>-1880000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371</v>
      </c>
      <c r="H146" s="11">
        <f t="shared" si="15"/>
        <v>0</v>
      </c>
      <c r="I146" s="11">
        <f t="shared" si="13"/>
        <v>-371185500</v>
      </c>
      <c r="J146" s="11">
        <f t="shared" si="16"/>
        <v>-371185500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365</v>
      </c>
      <c r="H147" s="11">
        <f t="shared" si="15"/>
        <v>0</v>
      </c>
      <c r="I147" s="11">
        <f t="shared" si="13"/>
        <v>-9855000000</v>
      </c>
      <c r="J147" s="11">
        <f t="shared" si="16"/>
        <v>0</v>
      </c>
      <c r="K147" s="11">
        <f t="shared" si="17"/>
        <v>-9855000000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362</v>
      </c>
      <c r="H148" s="11">
        <f t="shared" si="15"/>
        <v>1</v>
      </c>
      <c r="I148" s="11">
        <f t="shared" si="13"/>
        <v>91129396</v>
      </c>
      <c r="J148" s="11">
        <f t="shared" si="16"/>
        <v>23649110</v>
      </c>
      <c r="K148" s="11">
        <f t="shared" si="17"/>
        <v>67480286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370" si="18">B149-C149</f>
        <v>52400000</v>
      </c>
      <c r="E149" s="11" t="s">
        <v>1074</v>
      </c>
      <c r="F149" s="11">
        <v>7</v>
      </c>
      <c r="G149" s="36">
        <f t="shared" si="14"/>
        <v>354</v>
      </c>
      <c r="H149" s="11">
        <f t="shared" si="15"/>
        <v>1</v>
      </c>
      <c r="I149" s="11">
        <f t="shared" si="13"/>
        <v>18497200000</v>
      </c>
      <c r="J149" s="11">
        <f t="shared" si="16"/>
        <v>0</v>
      </c>
      <c r="K149" s="11">
        <f t="shared" si="17"/>
        <v>18497200000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347</v>
      </c>
      <c r="H150" s="11">
        <f t="shared" si="15"/>
        <v>0</v>
      </c>
      <c r="I150" s="11">
        <f t="shared" si="13"/>
        <v>-18044000000</v>
      </c>
      <c r="J150" s="11">
        <f t="shared" si="16"/>
        <v>0</v>
      </c>
      <c r="K150" s="11">
        <f t="shared" si="17"/>
        <v>-18044000000</v>
      </c>
    </row>
    <row r="151" spans="1:11">
      <c r="A151" s="11" t="s">
        <v>1119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342</v>
      </c>
      <c r="H151" s="99">
        <f t="shared" si="15"/>
        <v>0</v>
      </c>
      <c r="I151" s="99">
        <f t="shared" si="13"/>
        <v>-2736000000</v>
      </c>
      <c r="J151" s="99">
        <f t="shared" si="16"/>
        <v>-2316068802</v>
      </c>
      <c r="K151" s="11">
        <f t="shared" si="17"/>
        <v>-419931198</v>
      </c>
    </row>
    <row r="152" spans="1:11">
      <c r="A152" s="11" t="s">
        <v>1119</v>
      </c>
      <c r="B152" s="18">
        <v>-31230</v>
      </c>
      <c r="C152" s="18">
        <v>0</v>
      </c>
      <c r="D152" s="18">
        <f t="shared" si="18"/>
        <v>-31230</v>
      </c>
      <c r="E152" s="11" t="s">
        <v>1120</v>
      </c>
      <c r="F152" s="11">
        <v>11</v>
      </c>
      <c r="G152" s="36">
        <f t="shared" si="14"/>
        <v>342</v>
      </c>
      <c r="H152" s="99">
        <f t="shared" si="15"/>
        <v>0</v>
      </c>
      <c r="I152" s="99">
        <f t="shared" si="13"/>
        <v>-10680660</v>
      </c>
      <c r="J152" s="99">
        <f t="shared" si="16"/>
        <v>0</v>
      </c>
      <c r="K152" s="99">
        <f t="shared" si="17"/>
        <v>-10680660</v>
      </c>
    </row>
    <row r="153" spans="1:11">
      <c r="A153" s="99" t="s">
        <v>1145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331</v>
      </c>
      <c r="H153" s="99">
        <f t="shared" si="15"/>
        <v>1</v>
      </c>
      <c r="I153" s="99">
        <f t="shared" si="13"/>
        <v>44578710</v>
      </c>
      <c r="J153" s="99">
        <f t="shared" si="16"/>
        <v>13572900</v>
      </c>
      <c r="K153" s="99">
        <f t="shared" si="17"/>
        <v>31005810</v>
      </c>
    </row>
    <row r="154" spans="1:11">
      <c r="A154" s="99" t="s">
        <v>1156</v>
      </c>
      <c r="B154" s="18">
        <v>6824082</v>
      </c>
      <c r="C154" s="18">
        <v>6824082</v>
      </c>
      <c r="D154" s="18">
        <f t="shared" si="18"/>
        <v>0</v>
      </c>
      <c r="E154" s="99" t="s">
        <v>1157</v>
      </c>
      <c r="F154" s="99">
        <v>5</v>
      </c>
      <c r="G154" s="36">
        <f t="shared" si="14"/>
        <v>328</v>
      </c>
      <c r="H154" s="99">
        <f t="shared" si="15"/>
        <v>1</v>
      </c>
      <c r="I154" s="99">
        <f t="shared" si="13"/>
        <v>2231474814</v>
      </c>
      <c r="J154" s="99">
        <f t="shared" si="16"/>
        <v>2231474814</v>
      </c>
      <c r="K154" s="99">
        <f t="shared" si="17"/>
        <v>0</v>
      </c>
    </row>
    <row r="155" spans="1:11">
      <c r="A155" s="99" t="s">
        <v>1175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323</v>
      </c>
      <c r="H155" s="99">
        <f t="shared" si="15"/>
        <v>0</v>
      </c>
      <c r="I155" s="99">
        <f t="shared" si="13"/>
        <v>-64600000</v>
      </c>
      <c r="J155" s="99">
        <f t="shared" si="16"/>
        <v>0</v>
      </c>
      <c r="K155" s="99">
        <f t="shared" si="17"/>
        <v>-64600000</v>
      </c>
    </row>
    <row r="156" spans="1:11">
      <c r="A156" s="99" t="s">
        <v>1175</v>
      </c>
      <c r="B156" s="18">
        <v>-247840</v>
      </c>
      <c r="C156" s="18">
        <v>0</v>
      </c>
      <c r="D156" s="18">
        <f t="shared" si="18"/>
        <v>-247840</v>
      </c>
      <c r="E156" s="99" t="s">
        <v>1177</v>
      </c>
      <c r="F156" s="99">
        <v>1</v>
      </c>
      <c r="G156" s="36">
        <f t="shared" si="14"/>
        <v>323</v>
      </c>
      <c r="H156" s="99">
        <f t="shared" si="15"/>
        <v>0</v>
      </c>
      <c r="I156" s="99">
        <f t="shared" si="13"/>
        <v>-80052320</v>
      </c>
      <c r="J156" s="99">
        <f t="shared" si="16"/>
        <v>0</v>
      </c>
      <c r="K156" s="99">
        <f t="shared" si="17"/>
        <v>-80052320</v>
      </c>
    </row>
    <row r="157" spans="1:11">
      <c r="A157" s="99" t="s">
        <v>1181</v>
      </c>
      <c r="B157" s="18">
        <v>-162340</v>
      </c>
      <c r="C157" s="18">
        <v>0</v>
      </c>
      <c r="D157" s="18">
        <f t="shared" si="18"/>
        <v>-162340</v>
      </c>
      <c r="E157" s="99" t="s">
        <v>1182</v>
      </c>
      <c r="F157" s="99">
        <v>0</v>
      </c>
      <c r="G157" s="36">
        <f t="shared" si="14"/>
        <v>322</v>
      </c>
      <c r="H157" s="99">
        <f t="shared" si="15"/>
        <v>0</v>
      </c>
      <c r="I157" s="99">
        <f t="shared" si="13"/>
        <v>-52273480</v>
      </c>
      <c r="J157" s="99">
        <f t="shared" si="16"/>
        <v>0</v>
      </c>
      <c r="K157" s="99">
        <f t="shared" si="17"/>
        <v>-52273480</v>
      </c>
    </row>
    <row r="158" spans="1:11">
      <c r="A158" s="99" t="s">
        <v>1181</v>
      </c>
      <c r="B158" s="18">
        <v>-3000900</v>
      </c>
      <c r="C158" s="18">
        <v>0</v>
      </c>
      <c r="D158" s="18">
        <f t="shared" si="18"/>
        <v>-3000900</v>
      </c>
      <c r="E158" s="99" t="s">
        <v>1183</v>
      </c>
      <c r="F158" s="99">
        <v>2</v>
      </c>
      <c r="G158" s="36">
        <f t="shared" si="14"/>
        <v>322</v>
      </c>
      <c r="H158" s="99">
        <f t="shared" si="15"/>
        <v>0</v>
      </c>
      <c r="I158" s="99">
        <f t="shared" si="13"/>
        <v>-966289800</v>
      </c>
      <c r="J158" s="99">
        <f t="shared" si="16"/>
        <v>0</v>
      </c>
      <c r="K158" s="99">
        <f t="shared" si="17"/>
        <v>-966289800</v>
      </c>
    </row>
    <row r="159" spans="1:11">
      <c r="A159" s="99" t="s">
        <v>1197</v>
      </c>
      <c r="B159" s="18">
        <v>-1000500</v>
      </c>
      <c r="C159" s="18">
        <v>0</v>
      </c>
      <c r="D159" s="18">
        <f t="shared" si="18"/>
        <v>-1000500</v>
      </c>
      <c r="E159" s="99" t="s">
        <v>1198</v>
      </c>
      <c r="F159" s="99">
        <v>4</v>
      </c>
      <c r="G159" s="36">
        <f t="shared" si="14"/>
        <v>320</v>
      </c>
      <c r="H159" s="99">
        <f t="shared" si="15"/>
        <v>0</v>
      </c>
      <c r="I159" s="99">
        <f t="shared" si="13"/>
        <v>-320160000</v>
      </c>
      <c r="J159" s="99">
        <f t="shared" si="16"/>
        <v>0</v>
      </c>
      <c r="K159" s="99">
        <f t="shared" si="17"/>
        <v>-320160000</v>
      </c>
    </row>
    <row r="160" spans="1:11">
      <c r="A160" s="99" t="s">
        <v>1209</v>
      </c>
      <c r="B160" s="18">
        <v>-100000</v>
      </c>
      <c r="C160" s="18">
        <v>0</v>
      </c>
      <c r="D160" s="18">
        <f t="shared" si="18"/>
        <v>-100000</v>
      </c>
      <c r="E160" s="99" t="s">
        <v>1210</v>
      </c>
      <c r="F160" s="99">
        <v>1</v>
      </c>
      <c r="G160" s="36">
        <f t="shared" si="14"/>
        <v>316</v>
      </c>
      <c r="H160" s="99">
        <f t="shared" si="15"/>
        <v>0</v>
      </c>
      <c r="I160" s="99">
        <f t="shared" si="13"/>
        <v>-31600000</v>
      </c>
      <c r="J160" s="99">
        <f t="shared" si="16"/>
        <v>0</v>
      </c>
      <c r="K160" s="99">
        <f t="shared" si="17"/>
        <v>-31600000</v>
      </c>
    </row>
    <row r="161" spans="1:13">
      <c r="A161" s="99" t="s">
        <v>1213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315</v>
      </c>
      <c r="H161" s="99">
        <f t="shared" si="15"/>
        <v>0</v>
      </c>
      <c r="I161" s="99">
        <f t="shared" si="13"/>
        <v>-630000000</v>
      </c>
      <c r="J161" s="99">
        <f t="shared" si="16"/>
        <v>0</v>
      </c>
      <c r="K161" s="99">
        <f t="shared" si="17"/>
        <v>-630000000</v>
      </c>
    </row>
    <row r="162" spans="1:13">
      <c r="A162" s="99" t="s">
        <v>1213</v>
      </c>
      <c r="B162" s="18">
        <v>-1000500</v>
      </c>
      <c r="C162" s="18">
        <v>0</v>
      </c>
      <c r="D162" s="18">
        <f t="shared" si="18"/>
        <v>-1000500</v>
      </c>
      <c r="E162" s="99" t="s">
        <v>1220</v>
      </c>
      <c r="F162" s="99">
        <v>3</v>
      </c>
      <c r="G162" s="36">
        <f t="shared" si="14"/>
        <v>315</v>
      </c>
      <c r="H162" s="99">
        <f t="shared" si="15"/>
        <v>0</v>
      </c>
      <c r="I162" s="99">
        <f t="shared" si="13"/>
        <v>-315157500</v>
      </c>
      <c r="J162" s="99">
        <f t="shared" si="16"/>
        <v>0</v>
      </c>
      <c r="K162" s="99">
        <f t="shared" si="17"/>
        <v>-315157500</v>
      </c>
    </row>
    <row r="163" spans="1:13">
      <c r="A163" s="99" t="s">
        <v>1223</v>
      </c>
      <c r="B163" s="18">
        <v>-5000</v>
      </c>
      <c r="C163" s="18">
        <v>0</v>
      </c>
      <c r="D163" s="18">
        <f t="shared" si="18"/>
        <v>-5000</v>
      </c>
      <c r="E163" s="99" t="s">
        <v>1210</v>
      </c>
      <c r="F163" s="99">
        <v>10</v>
      </c>
      <c r="G163" s="36">
        <f t="shared" si="14"/>
        <v>312</v>
      </c>
      <c r="H163" s="99">
        <f t="shared" si="15"/>
        <v>0</v>
      </c>
      <c r="I163" s="99">
        <f t="shared" si="13"/>
        <v>-1560000</v>
      </c>
      <c r="J163" s="99">
        <f t="shared" si="16"/>
        <v>0</v>
      </c>
      <c r="K163" s="99">
        <f t="shared" si="17"/>
        <v>-1560000</v>
      </c>
    </row>
    <row r="164" spans="1:13">
      <c r="A164" s="99" t="s">
        <v>3666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302</v>
      </c>
      <c r="H164" s="99">
        <f t="shared" si="15"/>
        <v>1</v>
      </c>
      <c r="I164" s="99">
        <f t="shared" si="13"/>
        <v>903000000</v>
      </c>
      <c r="J164" s="99">
        <f t="shared" si="16"/>
        <v>0</v>
      </c>
      <c r="K164" s="99">
        <f t="shared" si="17"/>
        <v>903000000</v>
      </c>
    </row>
    <row r="165" spans="1:13">
      <c r="A165" s="99" t="s">
        <v>3670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301</v>
      </c>
      <c r="H165" s="99">
        <f t="shared" si="15"/>
        <v>1</v>
      </c>
      <c r="I165" s="99">
        <f t="shared" si="13"/>
        <v>900000000</v>
      </c>
      <c r="J165" s="99">
        <f t="shared" si="16"/>
        <v>0</v>
      </c>
      <c r="K165" s="99">
        <f t="shared" si="17"/>
        <v>900000000</v>
      </c>
    </row>
    <row r="166" spans="1:13">
      <c r="A166" s="99" t="s">
        <v>3672</v>
      </c>
      <c r="B166" s="18">
        <v>20314</v>
      </c>
      <c r="C166" s="18">
        <v>59842</v>
      </c>
      <c r="D166" s="18">
        <f t="shared" si="18"/>
        <v>-39528</v>
      </c>
      <c r="E166" s="99" t="s">
        <v>3675</v>
      </c>
      <c r="F166" s="99">
        <v>5</v>
      </c>
      <c r="G166" s="36">
        <f t="shared" si="14"/>
        <v>300</v>
      </c>
      <c r="H166" s="99">
        <f t="shared" si="15"/>
        <v>1</v>
      </c>
      <c r="I166" s="99">
        <f t="shared" si="13"/>
        <v>6073886</v>
      </c>
      <c r="J166" s="99">
        <f t="shared" si="16"/>
        <v>17892758</v>
      </c>
      <c r="K166" s="99">
        <f t="shared" si="17"/>
        <v>-11818872</v>
      </c>
    </row>
    <row r="167" spans="1:13">
      <c r="A167" s="99" t="s">
        <v>3695</v>
      </c>
      <c r="B167" s="18">
        <v>-3000900</v>
      </c>
      <c r="C167" s="18">
        <v>0</v>
      </c>
      <c r="D167" s="18">
        <f t="shared" si="18"/>
        <v>-3000900</v>
      </c>
      <c r="E167" s="99" t="s">
        <v>3696</v>
      </c>
      <c r="F167" s="99">
        <v>18</v>
      </c>
      <c r="G167" s="36">
        <f t="shared" si="14"/>
        <v>295</v>
      </c>
      <c r="H167" s="99">
        <f t="shared" si="15"/>
        <v>0</v>
      </c>
      <c r="I167" s="99">
        <f t="shared" si="13"/>
        <v>-885265500</v>
      </c>
      <c r="J167" s="99">
        <f t="shared" si="16"/>
        <v>0</v>
      </c>
      <c r="K167" s="99">
        <f t="shared" si="17"/>
        <v>-885265500</v>
      </c>
    </row>
    <row r="168" spans="1:13">
      <c r="A168" s="99" t="s">
        <v>3772</v>
      </c>
      <c r="B168" s="18">
        <v>-3000900</v>
      </c>
      <c r="C168" s="18">
        <v>0</v>
      </c>
      <c r="D168" s="18">
        <f t="shared" si="18"/>
        <v>-3000900</v>
      </c>
      <c r="E168" s="99" t="s">
        <v>3773</v>
      </c>
      <c r="F168" s="99">
        <v>8</v>
      </c>
      <c r="G168" s="36">
        <f t="shared" si="14"/>
        <v>277</v>
      </c>
      <c r="H168" s="99">
        <f t="shared" si="15"/>
        <v>0</v>
      </c>
      <c r="I168" s="99">
        <f t="shared" si="13"/>
        <v>-831249300</v>
      </c>
      <c r="J168" s="99">
        <f t="shared" si="16"/>
        <v>0</v>
      </c>
      <c r="K168" s="99">
        <f t="shared" si="17"/>
        <v>-831249300</v>
      </c>
      <c r="M168" t="s">
        <v>25</v>
      </c>
    </row>
    <row r="169" spans="1:13">
      <c r="A169" s="99" t="s">
        <v>3804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269</v>
      </c>
      <c r="H169" s="99">
        <f t="shared" si="15"/>
        <v>1</v>
      </c>
      <c r="I169" s="99">
        <f t="shared" si="13"/>
        <v>5816940</v>
      </c>
      <c r="J169" s="99">
        <f t="shared" si="16"/>
        <v>18362020</v>
      </c>
      <c r="K169" s="99">
        <f t="shared" si="17"/>
        <v>-12545080</v>
      </c>
    </row>
    <row r="170" spans="1:13">
      <c r="A170" s="99" t="s">
        <v>3926</v>
      </c>
      <c r="B170" s="18">
        <v>5000000</v>
      </c>
      <c r="C170" s="18">
        <v>0</v>
      </c>
      <c r="D170" s="18">
        <f t="shared" si="18"/>
        <v>5000000</v>
      </c>
      <c r="E170" s="99" t="s">
        <v>3891</v>
      </c>
      <c r="F170" s="99">
        <v>1</v>
      </c>
      <c r="G170" s="36">
        <f t="shared" si="14"/>
        <v>245</v>
      </c>
      <c r="H170" s="99">
        <f t="shared" si="15"/>
        <v>1</v>
      </c>
      <c r="I170" s="99">
        <f t="shared" si="13"/>
        <v>1220000000</v>
      </c>
      <c r="J170" s="99">
        <f t="shared" si="16"/>
        <v>0</v>
      </c>
      <c r="K170" s="99">
        <f t="shared" si="17"/>
        <v>1220000000</v>
      </c>
    </row>
    <row r="171" spans="1:13">
      <c r="A171" s="99" t="s">
        <v>3931</v>
      </c>
      <c r="B171" s="18">
        <v>-5000000</v>
      </c>
      <c r="C171" s="18">
        <v>0</v>
      </c>
      <c r="D171" s="18">
        <f t="shared" si="18"/>
        <v>-5000000</v>
      </c>
      <c r="E171" s="99" t="s">
        <v>3932</v>
      </c>
      <c r="F171" s="99">
        <v>6</v>
      </c>
      <c r="G171" s="36">
        <f t="shared" si="14"/>
        <v>244</v>
      </c>
      <c r="H171" s="99">
        <f t="shared" si="15"/>
        <v>0</v>
      </c>
      <c r="I171" s="99">
        <f t="shared" si="13"/>
        <v>-1220000000</v>
      </c>
      <c r="J171" s="99">
        <f t="shared" si="16"/>
        <v>0</v>
      </c>
      <c r="K171" s="99">
        <f t="shared" si="17"/>
        <v>-1220000000</v>
      </c>
    </row>
    <row r="172" spans="1:13">
      <c r="A172" s="99" t="s">
        <v>3954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238</v>
      </c>
      <c r="H172" s="99">
        <f t="shared" si="15"/>
        <v>1</v>
      </c>
      <c r="I172" s="99">
        <f t="shared" si="13"/>
        <v>117552</v>
      </c>
      <c r="J172" s="99">
        <f t="shared" si="16"/>
        <v>14855397</v>
      </c>
      <c r="K172" s="99">
        <f t="shared" si="17"/>
        <v>-14737845</v>
      </c>
    </row>
    <row r="173" spans="1:13">
      <c r="A173" s="99" t="s">
        <v>3979</v>
      </c>
      <c r="B173" s="18">
        <v>785000</v>
      </c>
      <c r="C173" s="18">
        <v>0</v>
      </c>
      <c r="D173" s="18">
        <f t="shared" si="18"/>
        <v>785000</v>
      </c>
      <c r="E173" s="99" t="s">
        <v>3980</v>
      </c>
      <c r="F173" s="99">
        <v>11</v>
      </c>
      <c r="G173" s="36">
        <f t="shared" si="14"/>
        <v>237</v>
      </c>
      <c r="H173" s="99">
        <f t="shared" si="15"/>
        <v>1</v>
      </c>
      <c r="I173" s="99">
        <f t="shared" si="13"/>
        <v>185260000</v>
      </c>
      <c r="J173" s="99">
        <f t="shared" si="16"/>
        <v>0</v>
      </c>
      <c r="K173" s="99">
        <f t="shared" si="17"/>
        <v>185260000</v>
      </c>
    </row>
    <row r="174" spans="1:13">
      <c r="A174" s="11" t="s">
        <v>3979</v>
      </c>
      <c r="B174" s="18">
        <v>-32000</v>
      </c>
      <c r="C174" s="18">
        <v>0</v>
      </c>
      <c r="D174" s="18">
        <f t="shared" si="18"/>
        <v>-32000</v>
      </c>
      <c r="E174" s="11" t="s">
        <v>3962</v>
      </c>
      <c r="F174" s="11">
        <v>2</v>
      </c>
      <c r="G174" s="36">
        <f t="shared" si="14"/>
        <v>226</v>
      </c>
      <c r="H174" s="99">
        <f t="shared" si="15"/>
        <v>0</v>
      </c>
      <c r="I174" s="99">
        <f t="shared" si="13"/>
        <v>-7232000</v>
      </c>
      <c r="J174" s="99">
        <f t="shared" si="16"/>
        <v>0</v>
      </c>
      <c r="K174" s="99">
        <f t="shared" si="17"/>
        <v>-7232000</v>
      </c>
    </row>
    <row r="175" spans="1:13">
      <c r="A175" s="99" t="s">
        <v>3981</v>
      </c>
      <c r="B175" s="18">
        <v>-750000</v>
      </c>
      <c r="C175" s="18">
        <v>0</v>
      </c>
      <c r="D175" s="18">
        <f t="shared" si="18"/>
        <v>-750000</v>
      </c>
      <c r="E175" s="99" t="s">
        <v>3770</v>
      </c>
      <c r="F175" s="99">
        <v>9</v>
      </c>
      <c r="G175" s="36">
        <f t="shared" si="14"/>
        <v>224</v>
      </c>
      <c r="H175" s="99">
        <f t="shared" si="15"/>
        <v>0</v>
      </c>
      <c r="I175" s="99">
        <f t="shared" si="13"/>
        <v>-168000000</v>
      </c>
      <c r="J175" s="99">
        <f t="shared" si="16"/>
        <v>0</v>
      </c>
      <c r="K175" s="99">
        <f t="shared" si="17"/>
        <v>-168000000</v>
      </c>
    </row>
    <row r="176" spans="1:13">
      <c r="A176" s="99" t="s">
        <v>4013</v>
      </c>
      <c r="B176" s="18">
        <v>-9396</v>
      </c>
      <c r="C176" s="18">
        <v>0</v>
      </c>
      <c r="D176" s="18">
        <f t="shared" si="18"/>
        <v>-9396</v>
      </c>
      <c r="E176" s="99" t="s">
        <v>4014</v>
      </c>
      <c r="F176" s="99">
        <v>1</v>
      </c>
      <c r="G176" s="36">
        <f t="shared" si="14"/>
        <v>215</v>
      </c>
      <c r="H176" s="99">
        <f t="shared" si="15"/>
        <v>0</v>
      </c>
      <c r="I176" s="99">
        <f t="shared" si="13"/>
        <v>-2020140</v>
      </c>
      <c r="J176" s="99">
        <f t="shared" si="16"/>
        <v>0</v>
      </c>
      <c r="K176" s="99">
        <f t="shared" si="17"/>
        <v>-2020140</v>
      </c>
    </row>
    <row r="177" spans="1:14">
      <c r="A177" s="99" t="s">
        <v>4017</v>
      </c>
      <c r="B177" s="18">
        <v>-43300</v>
      </c>
      <c r="C177" s="18">
        <v>0</v>
      </c>
      <c r="D177" s="18">
        <f t="shared" si="18"/>
        <v>-43300</v>
      </c>
      <c r="E177" s="99" t="s">
        <v>4019</v>
      </c>
      <c r="F177" s="99">
        <v>3</v>
      </c>
      <c r="G177" s="36">
        <f t="shared" si="14"/>
        <v>214</v>
      </c>
      <c r="H177" s="99">
        <f t="shared" si="15"/>
        <v>0</v>
      </c>
      <c r="I177" s="99">
        <f t="shared" si="13"/>
        <v>-9266200</v>
      </c>
      <c r="J177" s="99">
        <f t="shared" si="16"/>
        <v>0</v>
      </c>
      <c r="K177" s="99">
        <f t="shared" si="17"/>
        <v>-9266200</v>
      </c>
    </row>
    <row r="178" spans="1:14">
      <c r="A178" s="99" t="s">
        <v>3687</v>
      </c>
      <c r="B178" s="18">
        <v>360000</v>
      </c>
      <c r="C178" s="18">
        <v>0</v>
      </c>
      <c r="D178" s="18">
        <f t="shared" si="18"/>
        <v>360000</v>
      </c>
      <c r="E178" s="99" t="s">
        <v>4030</v>
      </c>
      <c r="F178" s="99">
        <v>2</v>
      </c>
      <c r="G178" s="36">
        <f t="shared" si="14"/>
        <v>211</v>
      </c>
      <c r="H178" s="99">
        <f t="shared" si="15"/>
        <v>1</v>
      </c>
      <c r="I178" s="99">
        <f t="shared" si="13"/>
        <v>75600000</v>
      </c>
      <c r="J178" s="99">
        <f t="shared" si="16"/>
        <v>0</v>
      </c>
      <c r="K178" s="99">
        <f t="shared" si="17"/>
        <v>75600000</v>
      </c>
    </row>
    <row r="179" spans="1:14">
      <c r="A179" s="99" t="s">
        <v>4032</v>
      </c>
      <c r="B179" s="18">
        <v>3000000</v>
      </c>
      <c r="C179" s="18">
        <v>0</v>
      </c>
      <c r="D179" s="18">
        <f t="shared" si="18"/>
        <v>3000000</v>
      </c>
      <c r="E179" s="99" t="s">
        <v>4033</v>
      </c>
      <c r="F179" s="99">
        <v>0</v>
      </c>
      <c r="G179" s="36">
        <f t="shared" si="14"/>
        <v>209</v>
      </c>
      <c r="H179" s="99">
        <f t="shared" si="15"/>
        <v>1</v>
      </c>
      <c r="I179" s="99">
        <f t="shared" si="13"/>
        <v>624000000</v>
      </c>
      <c r="J179" s="99">
        <f t="shared" si="16"/>
        <v>0</v>
      </c>
      <c r="K179" s="99">
        <f t="shared" si="17"/>
        <v>624000000</v>
      </c>
    </row>
    <row r="180" spans="1:14">
      <c r="A180" s="99" t="s">
        <v>4032</v>
      </c>
      <c r="B180" s="18">
        <v>-12050</v>
      </c>
      <c r="C180" s="18">
        <v>0</v>
      </c>
      <c r="D180" s="18">
        <f t="shared" si="18"/>
        <v>-12050</v>
      </c>
      <c r="E180" s="99" t="s">
        <v>4014</v>
      </c>
      <c r="F180" s="99">
        <v>2</v>
      </c>
      <c r="G180" s="36">
        <f t="shared" si="14"/>
        <v>209</v>
      </c>
      <c r="H180" s="99">
        <f t="shared" si="15"/>
        <v>0</v>
      </c>
      <c r="I180" s="99">
        <f t="shared" si="13"/>
        <v>-2518450</v>
      </c>
      <c r="J180" s="99">
        <f t="shared" si="16"/>
        <v>0</v>
      </c>
      <c r="K180" s="99">
        <f t="shared" si="17"/>
        <v>-2518450</v>
      </c>
    </row>
    <row r="181" spans="1:14">
      <c r="A181" s="99" t="s">
        <v>4037</v>
      </c>
      <c r="B181" s="18">
        <v>3000000</v>
      </c>
      <c r="C181" s="18">
        <v>0</v>
      </c>
      <c r="D181" s="18">
        <f t="shared" si="18"/>
        <v>3000000</v>
      </c>
      <c r="E181" s="99" t="s">
        <v>4038</v>
      </c>
      <c r="F181" s="99">
        <v>2</v>
      </c>
      <c r="G181" s="36">
        <f t="shared" si="14"/>
        <v>207</v>
      </c>
      <c r="H181" s="99">
        <f t="shared" si="15"/>
        <v>1</v>
      </c>
      <c r="I181" s="99">
        <f t="shared" si="13"/>
        <v>618000000</v>
      </c>
      <c r="J181" s="99">
        <f t="shared" si="16"/>
        <v>0</v>
      </c>
      <c r="K181" s="99">
        <f t="shared" si="17"/>
        <v>618000000</v>
      </c>
    </row>
    <row r="182" spans="1:14">
      <c r="A182" s="99" t="s">
        <v>4045</v>
      </c>
      <c r="B182" s="18">
        <v>-35800</v>
      </c>
      <c r="C182" s="18">
        <v>0</v>
      </c>
      <c r="D182" s="18">
        <f t="shared" si="18"/>
        <v>-35800</v>
      </c>
      <c r="E182" s="99" t="s">
        <v>4046</v>
      </c>
      <c r="F182" s="99">
        <v>1</v>
      </c>
      <c r="G182" s="36">
        <f t="shared" si="14"/>
        <v>205</v>
      </c>
      <c r="H182" s="99">
        <f t="shared" si="15"/>
        <v>0</v>
      </c>
      <c r="I182" s="99">
        <f t="shared" si="13"/>
        <v>-7339000</v>
      </c>
      <c r="J182" s="99">
        <f t="shared" si="16"/>
        <v>0</v>
      </c>
      <c r="K182" s="99">
        <f t="shared" si="17"/>
        <v>-7339000</v>
      </c>
      <c r="N182" t="s">
        <v>25</v>
      </c>
    </row>
    <row r="183" spans="1:14">
      <c r="A183" s="99" t="s">
        <v>4044</v>
      </c>
      <c r="B183" s="18">
        <v>3600000</v>
      </c>
      <c r="C183" s="18">
        <v>0</v>
      </c>
      <c r="D183" s="18">
        <f t="shared" si="18"/>
        <v>3600000</v>
      </c>
      <c r="E183" s="99" t="s">
        <v>4047</v>
      </c>
      <c r="F183" s="99">
        <v>0</v>
      </c>
      <c r="G183" s="36">
        <f t="shared" si="14"/>
        <v>204</v>
      </c>
      <c r="H183" s="99">
        <f t="shared" si="15"/>
        <v>1</v>
      </c>
      <c r="I183" s="99">
        <f t="shared" si="13"/>
        <v>730800000</v>
      </c>
      <c r="J183" s="99">
        <f t="shared" si="16"/>
        <v>0</v>
      </c>
      <c r="K183" s="99">
        <f t="shared" si="17"/>
        <v>730800000</v>
      </c>
    </row>
    <row r="184" spans="1:14">
      <c r="A184" s="99" t="s">
        <v>4044</v>
      </c>
      <c r="B184" s="18">
        <v>-33377</v>
      </c>
      <c r="C184" s="18">
        <v>0</v>
      </c>
      <c r="D184" s="18">
        <f t="shared" si="18"/>
        <v>-33377</v>
      </c>
      <c r="E184" s="99" t="s">
        <v>4048</v>
      </c>
      <c r="F184" s="99">
        <v>3</v>
      </c>
      <c r="G184" s="36">
        <f t="shared" si="14"/>
        <v>204</v>
      </c>
      <c r="H184" s="99">
        <f t="shared" si="15"/>
        <v>0</v>
      </c>
      <c r="I184" s="99">
        <f t="shared" si="13"/>
        <v>-6808908</v>
      </c>
      <c r="J184" s="99">
        <f t="shared" si="16"/>
        <v>0</v>
      </c>
      <c r="K184" s="99">
        <f t="shared" si="17"/>
        <v>-6808908</v>
      </c>
    </row>
    <row r="185" spans="1:14">
      <c r="A185" s="99" t="s">
        <v>4067</v>
      </c>
      <c r="B185" s="18">
        <v>-9800000</v>
      </c>
      <c r="C185" s="18">
        <v>0</v>
      </c>
      <c r="D185" s="18">
        <f t="shared" si="18"/>
        <v>-9800000</v>
      </c>
      <c r="E185" s="99" t="s">
        <v>1217</v>
      </c>
      <c r="F185" s="99">
        <v>0</v>
      </c>
      <c r="G185" s="36">
        <f t="shared" si="14"/>
        <v>201</v>
      </c>
      <c r="H185" s="99">
        <f t="shared" si="15"/>
        <v>0</v>
      </c>
      <c r="I185" s="99">
        <f t="shared" si="13"/>
        <v>-1969800000</v>
      </c>
      <c r="J185" s="99">
        <f t="shared" si="16"/>
        <v>0</v>
      </c>
      <c r="K185" s="99">
        <f t="shared" si="17"/>
        <v>-1969800000</v>
      </c>
    </row>
    <row r="186" spans="1:14">
      <c r="A186" s="99" t="s">
        <v>4067</v>
      </c>
      <c r="B186" s="18">
        <v>18000000</v>
      </c>
      <c r="C186" s="18">
        <v>0</v>
      </c>
      <c r="D186" s="18">
        <f t="shared" si="18"/>
        <v>18000000</v>
      </c>
      <c r="E186" s="99" t="s">
        <v>4069</v>
      </c>
      <c r="F186" s="99">
        <v>0</v>
      </c>
      <c r="G186" s="36">
        <f t="shared" si="14"/>
        <v>201</v>
      </c>
      <c r="H186" s="99">
        <f t="shared" si="15"/>
        <v>1</v>
      </c>
      <c r="I186" s="99">
        <f t="shared" si="13"/>
        <v>3600000000</v>
      </c>
      <c r="J186" s="99">
        <f t="shared" si="16"/>
        <v>0</v>
      </c>
      <c r="K186" s="99">
        <f t="shared" si="17"/>
        <v>3600000000</v>
      </c>
    </row>
    <row r="187" spans="1:14">
      <c r="A187" s="99" t="s">
        <v>4067</v>
      </c>
      <c r="B187" s="18">
        <v>-9000000</v>
      </c>
      <c r="C187" s="18">
        <v>0</v>
      </c>
      <c r="D187" s="18">
        <f t="shared" si="18"/>
        <v>-9000000</v>
      </c>
      <c r="E187" s="99" t="s">
        <v>1217</v>
      </c>
      <c r="F187" s="99">
        <v>0</v>
      </c>
      <c r="G187" s="36">
        <f t="shared" si="14"/>
        <v>201</v>
      </c>
      <c r="H187" s="99">
        <f t="shared" si="15"/>
        <v>0</v>
      </c>
      <c r="I187" s="99">
        <f t="shared" si="13"/>
        <v>-1809000000</v>
      </c>
      <c r="J187" s="99">
        <f t="shared" si="16"/>
        <v>0</v>
      </c>
      <c r="K187" s="99">
        <f t="shared" si="17"/>
        <v>-1809000000</v>
      </c>
    </row>
    <row r="188" spans="1:14">
      <c r="A188" s="99" t="s">
        <v>4067</v>
      </c>
      <c r="B188" s="18">
        <v>-11600</v>
      </c>
      <c r="C188" s="18">
        <v>0</v>
      </c>
      <c r="D188" s="18">
        <f t="shared" si="18"/>
        <v>-11600</v>
      </c>
      <c r="E188" s="99" t="s">
        <v>3941</v>
      </c>
      <c r="F188" s="99">
        <v>0</v>
      </c>
      <c r="G188" s="36">
        <f t="shared" si="14"/>
        <v>201</v>
      </c>
      <c r="H188" s="99">
        <f t="shared" si="15"/>
        <v>0</v>
      </c>
      <c r="I188" s="99">
        <f t="shared" si="13"/>
        <v>-2331600</v>
      </c>
      <c r="J188" s="99">
        <f t="shared" si="16"/>
        <v>0</v>
      </c>
      <c r="K188" s="99">
        <f t="shared" si="17"/>
        <v>-2331600</v>
      </c>
    </row>
    <row r="189" spans="1:14">
      <c r="A189" s="99" t="s">
        <v>4067</v>
      </c>
      <c r="B189" s="18">
        <v>-3304327</v>
      </c>
      <c r="C189" s="18">
        <v>0</v>
      </c>
      <c r="D189" s="18">
        <f t="shared" si="18"/>
        <v>-3304327</v>
      </c>
      <c r="E189" s="99" t="s">
        <v>4070</v>
      </c>
      <c r="F189" s="99">
        <v>1</v>
      </c>
      <c r="G189" s="36">
        <f t="shared" si="14"/>
        <v>201</v>
      </c>
      <c r="H189" s="99">
        <f t="shared" si="15"/>
        <v>0</v>
      </c>
      <c r="I189" s="99">
        <f t="shared" si="13"/>
        <v>-664169727</v>
      </c>
      <c r="J189" s="99">
        <f t="shared" si="16"/>
        <v>0</v>
      </c>
      <c r="K189" s="99">
        <f t="shared" si="17"/>
        <v>-664169727</v>
      </c>
    </row>
    <row r="190" spans="1:14">
      <c r="A190" s="99" t="s">
        <v>4076</v>
      </c>
      <c r="B190" s="18">
        <v>-3000900</v>
      </c>
      <c r="C190" s="18">
        <v>0</v>
      </c>
      <c r="D190" s="18">
        <f t="shared" si="18"/>
        <v>-3000900</v>
      </c>
      <c r="E190" s="99" t="s">
        <v>4077</v>
      </c>
      <c r="F190" s="99">
        <v>1</v>
      </c>
      <c r="G190" s="36">
        <f t="shared" si="14"/>
        <v>200</v>
      </c>
      <c r="H190" s="99">
        <f t="shared" si="15"/>
        <v>0</v>
      </c>
      <c r="I190" s="99">
        <f t="shared" si="13"/>
        <v>-600180000</v>
      </c>
      <c r="J190" s="99">
        <f t="shared" si="16"/>
        <v>0</v>
      </c>
      <c r="K190" s="99">
        <f t="shared" si="17"/>
        <v>-600180000</v>
      </c>
    </row>
    <row r="191" spans="1:14">
      <c r="A191" s="99" t="s">
        <v>4081</v>
      </c>
      <c r="B191" s="18">
        <v>-2760900</v>
      </c>
      <c r="C191" s="18">
        <v>0</v>
      </c>
      <c r="D191" s="18">
        <f t="shared" si="18"/>
        <v>-2760900</v>
      </c>
      <c r="E191" s="99" t="s">
        <v>4082</v>
      </c>
      <c r="F191" s="99">
        <v>5</v>
      </c>
      <c r="G191" s="36">
        <f t="shared" si="14"/>
        <v>199</v>
      </c>
      <c r="H191" s="99">
        <f t="shared" si="15"/>
        <v>0</v>
      </c>
      <c r="I191" s="99">
        <f t="shared" si="13"/>
        <v>-549419100</v>
      </c>
      <c r="J191" s="99">
        <f t="shared" si="16"/>
        <v>0</v>
      </c>
      <c r="K191" s="99">
        <f t="shared" si="17"/>
        <v>-549419100</v>
      </c>
    </row>
    <row r="192" spans="1:14">
      <c r="A192" s="99" t="s">
        <v>4095</v>
      </c>
      <c r="B192" s="18">
        <v>1000000</v>
      </c>
      <c r="C192" s="18">
        <v>0</v>
      </c>
      <c r="D192" s="18">
        <f t="shared" si="18"/>
        <v>1000000</v>
      </c>
      <c r="E192" s="99" t="s">
        <v>4074</v>
      </c>
      <c r="F192" s="99">
        <v>1</v>
      </c>
      <c r="G192" s="36">
        <f t="shared" si="14"/>
        <v>194</v>
      </c>
      <c r="H192" s="99">
        <f t="shared" si="15"/>
        <v>1</v>
      </c>
      <c r="I192" s="99">
        <f t="shared" si="13"/>
        <v>193000000</v>
      </c>
      <c r="J192" s="99">
        <f t="shared" si="16"/>
        <v>0</v>
      </c>
      <c r="K192" s="99">
        <f t="shared" si="17"/>
        <v>193000000</v>
      </c>
    </row>
    <row r="193" spans="1:11">
      <c r="A193" s="99" t="s">
        <v>4111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193</v>
      </c>
      <c r="H193" s="99">
        <f t="shared" si="15"/>
        <v>0</v>
      </c>
      <c r="I193" s="99">
        <f t="shared" si="13"/>
        <v>-2895000</v>
      </c>
      <c r="J193" s="99">
        <f t="shared" si="16"/>
        <v>0</v>
      </c>
      <c r="K193" s="99">
        <f t="shared" si="17"/>
        <v>-2895000</v>
      </c>
    </row>
    <row r="194" spans="1:11">
      <c r="A194" s="99" t="s">
        <v>4107</v>
      </c>
      <c r="B194" s="18">
        <v>-990000</v>
      </c>
      <c r="C194" s="18">
        <v>0</v>
      </c>
      <c r="D194" s="18">
        <f t="shared" si="18"/>
        <v>-990000</v>
      </c>
      <c r="E194" s="99" t="s">
        <v>3770</v>
      </c>
      <c r="F194" s="99">
        <v>0</v>
      </c>
      <c r="G194" s="36">
        <f t="shared" si="14"/>
        <v>191</v>
      </c>
      <c r="H194" s="99">
        <f t="shared" si="15"/>
        <v>0</v>
      </c>
      <c r="I194" s="99">
        <f t="shared" si="13"/>
        <v>-189090000</v>
      </c>
      <c r="J194" s="99">
        <f t="shared" si="16"/>
        <v>0</v>
      </c>
      <c r="K194" s="99">
        <f t="shared" si="17"/>
        <v>-189090000</v>
      </c>
    </row>
    <row r="195" spans="1:11">
      <c r="A195" s="99" t="s">
        <v>4107</v>
      </c>
      <c r="B195" s="18">
        <v>783000</v>
      </c>
      <c r="C195" s="18">
        <v>0</v>
      </c>
      <c r="D195" s="18">
        <f t="shared" si="18"/>
        <v>783000</v>
      </c>
      <c r="E195" s="99" t="s">
        <v>4114</v>
      </c>
      <c r="F195" s="99">
        <v>2</v>
      </c>
      <c r="G195" s="36">
        <f t="shared" si="14"/>
        <v>191</v>
      </c>
      <c r="H195" s="99">
        <f t="shared" si="15"/>
        <v>1</v>
      </c>
      <c r="I195" s="99">
        <f t="shared" si="13"/>
        <v>148770000</v>
      </c>
      <c r="J195" s="99">
        <f t="shared" si="16"/>
        <v>0</v>
      </c>
      <c r="K195" s="99">
        <f t="shared" si="17"/>
        <v>148770000</v>
      </c>
    </row>
    <row r="196" spans="1:11">
      <c r="A196" s="99" t="s">
        <v>4117</v>
      </c>
      <c r="B196" s="18">
        <v>-750500</v>
      </c>
      <c r="C196" s="18">
        <v>0</v>
      </c>
      <c r="D196" s="18">
        <f t="shared" si="18"/>
        <v>-750500</v>
      </c>
      <c r="E196" s="99" t="s">
        <v>4118</v>
      </c>
      <c r="F196" s="99">
        <v>2</v>
      </c>
      <c r="G196" s="36">
        <f t="shared" si="14"/>
        <v>189</v>
      </c>
      <c r="H196" s="99">
        <f t="shared" si="15"/>
        <v>0</v>
      </c>
      <c r="I196" s="99">
        <f t="shared" si="13"/>
        <v>-141844500</v>
      </c>
      <c r="J196" s="99">
        <f t="shared" si="16"/>
        <v>0</v>
      </c>
      <c r="K196" s="99">
        <f t="shared" si="17"/>
        <v>-141844500</v>
      </c>
    </row>
    <row r="197" spans="1:11">
      <c r="A197" s="99" t="s">
        <v>4130</v>
      </c>
      <c r="B197" s="18">
        <v>700000</v>
      </c>
      <c r="C197" s="18">
        <v>0</v>
      </c>
      <c r="D197" s="18">
        <f t="shared" si="18"/>
        <v>700000</v>
      </c>
      <c r="E197" s="99" t="s">
        <v>3891</v>
      </c>
      <c r="F197" s="99">
        <v>0</v>
      </c>
      <c r="G197" s="36">
        <f t="shared" si="14"/>
        <v>187</v>
      </c>
      <c r="H197" s="99">
        <f t="shared" si="15"/>
        <v>1</v>
      </c>
      <c r="I197" s="99">
        <f t="shared" si="13"/>
        <v>130200000</v>
      </c>
      <c r="J197" s="99">
        <f t="shared" si="16"/>
        <v>0</v>
      </c>
      <c r="K197" s="99">
        <f t="shared" si="17"/>
        <v>130200000</v>
      </c>
    </row>
    <row r="198" spans="1:11">
      <c r="A198" s="99" t="s">
        <v>4130</v>
      </c>
      <c r="B198" s="18">
        <v>-99000</v>
      </c>
      <c r="C198" s="18">
        <v>0</v>
      </c>
      <c r="D198" s="18">
        <f t="shared" si="18"/>
        <v>-99000</v>
      </c>
      <c r="E198" s="99" t="s">
        <v>4132</v>
      </c>
      <c r="F198" s="99">
        <v>1</v>
      </c>
      <c r="G198" s="36">
        <f t="shared" si="14"/>
        <v>187</v>
      </c>
      <c r="H198" s="99">
        <f t="shared" si="15"/>
        <v>0</v>
      </c>
      <c r="I198" s="99">
        <f t="shared" si="13"/>
        <v>-18513000</v>
      </c>
      <c r="J198" s="99">
        <f t="shared" si="16"/>
        <v>0</v>
      </c>
      <c r="K198" s="99">
        <f t="shared" si="17"/>
        <v>-18513000</v>
      </c>
    </row>
    <row r="199" spans="1:11">
      <c r="A199" s="99" t="s">
        <v>4133</v>
      </c>
      <c r="B199" s="18">
        <v>-205750</v>
      </c>
      <c r="C199" s="18">
        <v>0</v>
      </c>
      <c r="D199" s="18">
        <f t="shared" si="18"/>
        <v>-205750</v>
      </c>
      <c r="E199" s="99" t="s">
        <v>4134</v>
      </c>
      <c r="F199" s="99">
        <v>0</v>
      </c>
      <c r="G199" s="36">
        <f t="shared" si="14"/>
        <v>186</v>
      </c>
      <c r="H199" s="99">
        <f t="shared" si="15"/>
        <v>0</v>
      </c>
      <c r="I199" s="99">
        <f t="shared" si="13"/>
        <v>-38269500</v>
      </c>
      <c r="J199" s="99">
        <f t="shared" si="16"/>
        <v>0</v>
      </c>
      <c r="K199" s="99">
        <f t="shared" si="17"/>
        <v>-38269500</v>
      </c>
    </row>
    <row r="200" spans="1:11">
      <c r="A200" s="99" t="s">
        <v>4133</v>
      </c>
      <c r="B200" s="18">
        <v>-95000</v>
      </c>
      <c r="C200" s="18">
        <v>0</v>
      </c>
      <c r="D200" s="18">
        <f t="shared" si="18"/>
        <v>-95000</v>
      </c>
      <c r="E200" s="99" t="s">
        <v>4135</v>
      </c>
      <c r="F200" s="99">
        <v>3</v>
      </c>
      <c r="G200" s="36">
        <f t="shared" si="14"/>
        <v>186</v>
      </c>
      <c r="H200" s="99">
        <f t="shared" si="15"/>
        <v>0</v>
      </c>
      <c r="I200" s="99">
        <f t="shared" si="13"/>
        <v>-17670000</v>
      </c>
      <c r="J200" s="99">
        <f t="shared" si="16"/>
        <v>0</v>
      </c>
      <c r="K200" s="99">
        <f t="shared" si="17"/>
        <v>-17670000</v>
      </c>
    </row>
    <row r="201" spans="1:11">
      <c r="A201" s="99" t="s">
        <v>4151</v>
      </c>
      <c r="B201" s="18">
        <v>48650000</v>
      </c>
      <c r="C201" s="18">
        <v>0</v>
      </c>
      <c r="D201" s="18">
        <f t="shared" si="18"/>
        <v>48650000</v>
      </c>
      <c r="E201" s="99" t="s">
        <v>4152</v>
      </c>
      <c r="F201" s="99">
        <v>0</v>
      </c>
      <c r="G201" s="36">
        <f t="shared" si="14"/>
        <v>183</v>
      </c>
      <c r="H201" s="99">
        <f t="shared" si="15"/>
        <v>1</v>
      </c>
      <c r="I201" s="99">
        <f t="shared" si="13"/>
        <v>8854300000</v>
      </c>
      <c r="J201" s="99">
        <f t="shared" si="16"/>
        <v>0</v>
      </c>
      <c r="K201" s="99">
        <f t="shared" si="17"/>
        <v>8854300000</v>
      </c>
    </row>
    <row r="202" spans="1:11">
      <c r="A202" s="99" t="s">
        <v>4151</v>
      </c>
      <c r="B202" s="18">
        <v>-3000900</v>
      </c>
      <c r="C202" s="18">
        <v>0</v>
      </c>
      <c r="D202" s="18">
        <f t="shared" si="18"/>
        <v>-3000900</v>
      </c>
      <c r="E202" s="99" t="s">
        <v>1220</v>
      </c>
      <c r="F202" s="99">
        <v>0</v>
      </c>
      <c r="G202" s="36">
        <f t="shared" si="14"/>
        <v>183</v>
      </c>
      <c r="H202" s="99">
        <f t="shared" si="15"/>
        <v>0</v>
      </c>
      <c r="I202" s="99">
        <f t="shared" si="13"/>
        <v>-549164700</v>
      </c>
      <c r="J202" s="99">
        <f t="shared" si="16"/>
        <v>0</v>
      </c>
      <c r="K202" s="99">
        <f t="shared" si="17"/>
        <v>-549164700</v>
      </c>
    </row>
    <row r="203" spans="1:11">
      <c r="A203" s="99" t="s">
        <v>4151</v>
      </c>
      <c r="B203" s="18">
        <v>-5000</v>
      </c>
      <c r="C203" s="18">
        <v>0</v>
      </c>
      <c r="D203" s="18">
        <f t="shared" si="18"/>
        <v>-5000</v>
      </c>
      <c r="E203" s="99" t="s">
        <v>4153</v>
      </c>
      <c r="F203" s="99">
        <v>0</v>
      </c>
      <c r="G203" s="36">
        <f t="shared" si="14"/>
        <v>183</v>
      </c>
      <c r="H203" s="99">
        <f t="shared" si="15"/>
        <v>0</v>
      </c>
      <c r="I203" s="99">
        <f t="shared" si="13"/>
        <v>-915000</v>
      </c>
      <c r="J203" s="99">
        <f t="shared" si="16"/>
        <v>0</v>
      </c>
      <c r="K203" s="99">
        <f t="shared" si="17"/>
        <v>-915000</v>
      </c>
    </row>
    <row r="204" spans="1:11">
      <c r="A204" s="99" t="s">
        <v>4151</v>
      </c>
      <c r="B204" s="18">
        <v>-33500000</v>
      </c>
      <c r="C204" s="18">
        <v>0</v>
      </c>
      <c r="D204" s="18">
        <f t="shared" si="18"/>
        <v>-33500000</v>
      </c>
      <c r="E204" s="99" t="s">
        <v>3770</v>
      </c>
      <c r="F204" s="99">
        <v>1</v>
      </c>
      <c r="G204" s="36">
        <f>G205+F204</f>
        <v>183</v>
      </c>
      <c r="H204" s="99">
        <f t="shared" si="15"/>
        <v>0</v>
      </c>
      <c r="I204" s="99">
        <f t="shared" si="13"/>
        <v>-6130500000</v>
      </c>
      <c r="J204" s="99">
        <f t="shared" si="16"/>
        <v>0</v>
      </c>
      <c r="K204" s="99">
        <f t="shared" si="17"/>
        <v>-6130500000</v>
      </c>
    </row>
    <row r="205" spans="1:11">
      <c r="A205" s="11" t="s">
        <v>4156</v>
      </c>
      <c r="B205" s="18">
        <v>-12435000</v>
      </c>
      <c r="C205" s="18">
        <v>0</v>
      </c>
      <c r="D205" s="18">
        <f t="shared" si="18"/>
        <v>-12435000</v>
      </c>
      <c r="E205" s="11" t="s">
        <v>3770</v>
      </c>
      <c r="F205" s="11">
        <v>3</v>
      </c>
      <c r="G205" s="36">
        <f t="shared" ref="G205:G216" si="19">G206+F205</f>
        <v>182</v>
      </c>
      <c r="H205" s="99">
        <f t="shared" si="15"/>
        <v>0</v>
      </c>
      <c r="I205" s="99">
        <f t="shared" si="13"/>
        <v>-2263170000</v>
      </c>
      <c r="J205" s="99">
        <f t="shared" si="16"/>
        <v>0</v>
      </c>
      <c r="K205" s="99">
        <f t="shared" si="17"/>
        <v>-2263170000</v>
      </c>
    </row>
    <row r="206" spans="1:11">
      <c r="A206" s="99" t="s">
        <v>4169</v>
      </c>
      <c r="B206" s="18">
        <v>-18500</v>
      </c>
      <c r="C206" s="18">
        <v>0</v>
      </c>
      <c r="D206" s="18">
        <f t="shared" si="18"/>
        <v>-18500</v>
      </c>
      <c r="E206" s="99" t="s">
        <v>4170</v>
      </c>
      <c r="F206" s="99">
        <v>2</v>
      </c>
      <c r="G206" s="36">
        <f t="shared" si="19"/>
        <v>179</v>
      </c>
      <c r="H206" s="99">
        <f t="shared" si="15"/>
        <v>0</v>
      </c>
      <c r="I206" s="99">
        <f t="shared" si="13"/>
        <v>-3311500</v>
      </c>
      <c r="J206" s="99">
        <f t="shared" si="16"/>
        <v>0</v>
      </c>
      <c r="K206" s="99">
        <f t="shared" si="17"/>
        <v>-3311500</v>
      </c>
    </row>
    <row r="207" spans="1:11">
      <c r="A207" s="99" t="s">
        <v>4166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177</v>
      </c>
      <c r="H207" s="99">
        <f t="shared" si="15"/>
        <v>1</v>
      </c>
      <c r="I207" s="99">
        <f t="shared" si="13"/>
        <v>2548480</v>
      </c>
      <c r="J207" s="99">
        <f t="shared" ref="J207:J281" si="20">C207*(G207-H207)</f>
        <v>12473824</v>
      </c>
      <c r="K207" s="99">
        <f t="shared" si="17"/>
        <v>-9925344</v>
      </c>
    </row>
    <row r="208" spans="1:11">
      <c r="A208" s="99" t="s">
        <v>4172</v>
      </c>
      <c r="B208" s="18">
        <v>830000</v>
      </c>
      <c r="C208" s="18">
        <v>0</v>
      </c>
      <c r="D208" s="18">
        <f t="shared" si="18"/>
        <v>830000</v>
      </c>
      <c r="E208" s="99" t="s">
        <v>4173</v>
      </c>
      <c r="F208" s="99">
        <v>2</v>
      </c>
      <c r="G208" s="36">
        <f t="shared" si="19"/>
        <v>176</v>
      </c>
      <c r="H208" s="99">
        <f t="shared" si="15"/>
        <v>1</v>
      </c>
      <c r="I208" s="99">
        <f t="shared" si="13"/>
        <v>145250000</v>
      </c>
      <c r="J208" s="99">
        <f t="shared" si="20"/>
        <v>0</v>
      </c>
      <c r="K208" s="99">
        <f t="shared" si="17"/>
        <v>145250000</v>
      </c>
    </row>
    <row r="209" spans="1:13">
      <c r="A209" s="99" t="s">
        <v>4189</v>
      </c>
      <c r="B209" s="18">
        <v>-52440</v>
      </c>
      <c r="C209" s="18">
        <v>0</v>
      </c>
      <c r="D209" s="18">
        <f t="shared" si="18"/>
        <v>-52440</v>
      </c>
      <c r="E209" s="99" t="s">
        <v>4191</v>
      </c>
      <c r="F209" s="99">
        <v>1</v>
      </c>
      <c r="G209" s="36">
        <f t="shared" si="19"/>
        <v>174</v>
      </c>
      <c r="H209" s="99">
        <f t="shared" si="15"/>
        <v>0</v>
      </c>
      <c r="I209" s="99">
        <f t="shared" si="13"/>
        <v>-9124560</v>
      </c>
      <c r="J209" s="99">
        <f t="shared" si="20"/>
        <v>0</v>
      </c>
      <c r="K209" s="99">
        <f t="shared" si="17"/>
        <v>-9124560</v>
      </c>
    </row>
    <row r="210" spans="1:13">
      <c r="A210" s="99" t="s">
        <v>4192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173</v>
      </c>
      <c r="H210" s="99">
        <f t="shared" si="15"/>
        <v>0</v>
      </c>
      <c r="I210" s="99">
        <f t="shared" si="13"/>
        <v>-8840300</v>
      </c>
      <c r="J210" s="99">
        <f t="shared" si="20"/>
        <v>0</v>
      </c>
      <c r="K210" s="99">
        <f t="shared" si="17"/>
        <v>-8840300</v>
      </c>
    </row>
    <row r="211" spans="1:13">
      <c r="A211" s="99" t="s">
        <v>4193</v>
      </c>
      <c r="B211" s="18">
        <v>-200000</v>
      </c>
      <c r="C211" s="18">
        <v>0</v>
      </c>
      <c r="D211" s="18">
        <f t="shared" si="18"/>
        <v>-200000</v>
      </c>
      <c r="E211" s="99" t="s">
        <v>4194</v>
      </c>
      <c r="F211" s="99">
        <v>1</v>
      </c>
      <c r="G211" s="36">
        <f t="shared" si="19"/>
        <v>172</v>
      </c>
      <c r="H211" s="99">
        <f t="shared" si="15"/>
        <v>0</v>
      </c>
      <c r="I211" s="99">
        <f t="shared" si="13"/>
        <v>-34400000</v>
      </c>
      <c r="J211" s="99">
        <f t="shared" si="20"/>
        <v>0</v>
      </c>
      <c r="K211" s="99">
        <f t="shared" si="17"/>
        <v>-34400000</v>
      </c>
    </row>
    <row r="212" spans="1:13">
      <c r="A212" s="99" t="s">
        <v>4195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171</v>
      </c>
      <c r="H212" s="99">
        <f t="shared" si="15"/>
        <v>0</v>
      </c>
      <c r="I212" s="99">
        <f t="shared" si="13"/>
        <v>-4788000</v>
      </c>
      <c r="J212" s="99">
        <f t="shared" si="20"/>
        <v>0</v>
      </c>
      <c r="K212" s="99">
        <f t="shared" si="17"/>
        <v>-4788000</v>
      </c>
    </row>
    <row r="213" spans="1:13">
      <c r="A213" s="99" t="s">
        <v>4196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170</v>
      </c>
      <c r="H213" s="99">
        <f t="shared" si="15"/>
        <v>0</v>
      </c>
      <c r="I213" s="99">
        <f t="shared" si="13"/>
        <v>-10047000</v>
      </c>
      <c r="J213" s="99">
        <f t="shared" si="20"/>
        <v>0</v>
      </c>
      <c r="K213" s="99">
        <f t="shared" si="17"/>
        <v>-10047000</v>
      </c>
    </row>
    <row r="214" spans="1:13">
      <c r="A214" s="99" t="s">
        <v>4196</v>
      </c>
      <c r="B214" s="18">
        <v>-30000</v>
      </c>
      <c r="C214" s="18">
        <v>0</v>
      </c>
      <c r="D214" s="18">
        <f t="shared" si="18"/>
        <v>-30000</v>
      </c>
      <c r="E214" s="99" t="s">
        <v>4197</v>
      </c>
      <c r="F214" s="99">
        <v>0</v>
      </c>
      <c r="G214" s="36">
        <f t="shared" si="19"/>
        <v>169</v>
      </c>
      <c r="H214" s="99">
        <f t="shared" si="15"/>
        <v>0</v>
      </c>
      <c r="I214" s="99">
        <f t="shared" si="13"/>
        <v>-5070000</v>
      </c>
      <c r="J214" s="99">
        <f t="shared" si="20"/>
        <v>0</v>
      </c>
      <c r="K214" s="99">
        <f t="shared" si="17"/>
        <v>-5070000</v>
      </c>
    </row>
    <row r="215" spans="1:13">
      <c r="A215" s="99" t="s">
        <v>4196</v>
      </c>
      <c r="B215" s="18">
        <v>-178000</v>
      </c>
      <c r="C215" s="18">
        <v>0</v>
      </c>
      <c r="D215" s="18">
        <f t="shared" si="18"/>
        <v>-178000</v>
      </c>
      <c r="E215" s="99" t="s">
        <v>4199</v>
      </c>
      <c r="F215" s="99">
        <v>1</v>
      </c>
      <c r="G215" s="36">
        <f t="shared" si="19"/>
        <v>169</v>
      </c>
      <c r="H215" s="99">
        <f t="shared" si="15"/>
        <v>0</v>
      </c>
      <c r="I215" s="99">
        <f t="shared" si="13"/>
        <v>-30082000</v>
      </c>
      <c r="J215" s="99">
        <f t="shared" si="20"/>
        <v>0</v>
      </c>
      <c r="K215" s="99">
        <f t="shared" si="17"/>
        <v>-30082000</v>
      </c>
    </row>
    <row r="216" spans="1:13">
      <c r="A216" s="99" t="s">
        <v>4201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168</v>
      </c>
      <c r="H216" s="99">
        <f t="shared" si="15"/>
        <v>0</v>
      </c>
      <c r="I216" s="99">
        <f t="shared" si="13"/>
        <v>-16062480</v>
      </c>
      <c r="J216" s="99">
        <f t="shared" si="20"/>
        <v>0</v>
      </c>
      <c r="K216" s="99">
        <f t="shared" si="17"/>
        <v>-16062480</v>
      </c>
    </row>
    <row r="217" spans="1:13">
      <c r="A217" s="99" t="s">
        <v>4165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165</v>
      </c>
      <c r="H217" s="99">
        <f t="shared" si="15"/>
        <v>0</v>
      </c>
      <c r="I217" s="99">
        <f t="shared" si="13"/>
        <v>-13860000</v>
      </c>
      <c r="J217" s="99">
        <f t="shared" si="20"/>
        <v>0</v>
      </c>
      <c r="K217" s="99">
        <f t="shared" si="17"/>
        <v>-13860000</v>
      </c>
    </row>
    <row r="218" spans="1:13">
      <c r="A218" s="99" t="s">
        <v>4205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97" si="21">G219+F218</f>
        <v>163</v>
      </c>
      <c r="H218" s="99">
        <f t="shared" si="15"/>
        <v>0</v>
      </c>
      <c r="I218" s="99">
        <f t="shared" si="13"/>
        <v>-5379000</v>
      </c>
      <c r="J218" s="99">
        <f t="shared" si="20"/>
        <v>0</v>
      </c>
      <c r="K218" s="99">
        <f t="shared" si="17"/>
        <v>-5379000</v>
      </c>
    </row>
    <row r="219" spans="1:13">
      <c r="A219" s="99" t="s">
        <v>4210</v>
      </c>
      <c r="B219" s="18">
        <v>1548000</v>
      </c>
      <c r="C219" s="18">
        <v>0</v>
      </c>
      <c r="D219" s="18">
        <f t="shared" si="18"/>
        <v>1548000</v>
      </c>
      <c r="E219" s="99" t="s">
        <v>4240</v>
      </c>
      <c r="F219" s="99">
        <v>1</v>
      </c>
      <c r="G219" s="36">
        <f t="shared" si="21"/>
        <v>160</v>
      </c>
      <c r="H219" s="99">
        <f t="shared" si="15"/>
        <v>1</v>
      </c>
      <c r="I219" s="99">
        <f t="shared" si="13"/>
        <v>246132000</v>
      </c>
      <c r="J219" s="99">
        <f t="shared" si="20"/>
        <v>0</v>
      </c>
      <c r="K219" s="99">
        <f t="shared" si="17"/>
        <v>246132000</v>
      </c>
    </row>
    <row r="220" spans="1:13">
      <c r="A220" s="99" t="s">
        <v>4241</v>
      </c>
      <c r="B220" s="18">
        <v>-1400700</v>
      </c>
      <c r="C220" s="18">
        <v>0</v>
      </c>
      <c r="D220" s="18">
        <f t="shared" si="18"/>
        <v>-1400700</v>
      </c>
      <c r="E220" s="99" t="s">
        <v>4242</v>
      </c>
      <c r="F220" s="99">
        <v>0</v>
      </c>
      <c r="G220" s="36">
        <f t="shared" si="21"/>
        <v>159</v>
      </c>
      <c r="H220" s="99">
        <f t="shared" si="15"/>
        <v>0</v>
      </c>
      <c r="I220" s="99">
        <f t="shared" si="13"/>
        <v>-222711300</v>
      </c>
      <c r="J220" s="99">
        <f t="shared" si="20"/>
        <v>0</v>
      </c>
      <c r="K220" s="99">
        <f t="shared" si="17"/>
        <v>-222711300</v>
      </c>
    </row>
    <row r="221" spans="1:13">
      <c r="A221" s="99" t="s">
        <v>4241</v>
      </c>
      <c r="B221" s="18">
        <v>-10000</v>
      </c>
      <c r="C221" s="18">
        <v>0</v>
      </c>
      <c r="D221" s="18">
        <f t="shared" si="18"/>
        <v>-10000</v>
      </c>
      <c r="E221" s="99" t="s">
        <v>1134</v>
      </c>
      <c r="F221" s="99">
        <v>0</v>
      </c>
      <c r="G221" s="36">
        <f t="shared" si="21"/>
        <v>159</v>
      </c>
      <c r="H221" s="99">
        <f t="shared" si="15"/>
        <v>0</v>
      </c>
      <c r="I221" s="99">
        <f t="shared" si="13"/>
        <v>-1590000</v>
      </c>
      <c r="J221" s="99">
        <f t="shared" si="20"/>
        <v>0</v>
      </c>
      <c r="K221" s="99">
        <f t="shared" si="17"/>
        <v>-1590000</v>
      </c>
    </row>
    <row r="222" spans="1:13">
      <c r="A222" s="99" t="s">
        <v>4241</v>
      </c>
      <c r="B222" s="18">
        <v>-5000</v>
      </c>
      <c r="C222" s="18">
        <v>-2500</v>
      </c>
      <c r="D222" s="18">
        <f t="shared" si="18"/>
        <v>-2500</v>
      </c>
      <c r="E222" s="99" t="s">
        <v>4249</v>
      </c>
      <c r="F222" s="99">
        <v>6</v>
      </c>
      <c r="G222" s="36">
        <f t="shared" si="21"/>
        <v>159</v>
      </c>
      <c r="H222" s="99">
        <f t="shared" si="15"/>
        <v>0</v>
      </c>
      <c r="I222" s="99">
        <f t="shared" si="13"/>
        <v>-795000</v>
      </c>
      <c r="J222" s="99">
        <f t="shared" si="20"/>
        <v>-397500</v>
      </c>
      <c r="K222" s="99">
        <f t="shared" si="17"/>
        <v>-397500</v>
      </c>
    </row>
    <row r="223" spans="1:13">
      <c r="A223" s="99" t="s">
        <v>4258</v>
      </c>
      <c r="B223" s="18">
        <v>-190000</v>
      </c>
      <c r="C223" s="18">
        <v>0</v>
      </c>
      <c r="D223" s="18">
        <f t="shared" si="18"/>
        <v>-190000</v>
      </c>
      <c r="E223" s="99" t="s">
        <v>4259</v>
      </c>
      <c r="F223" s="99">
        <v>7</v>
      </c>
      <c r="G223" s="36">
        <f t="shared" si="21"/>
        <v>153</v>
      </c>
      <c r="H223" s="99">
        <f t="shared" si="15"/>
        <v>0</v>
      </c>
      <c r="I223" s="99">
        <f t="shared" si="13"/>
        <v>-29070000</v>
      </c>
      <c r="J223" s="99">
        <f t="shared" si="20"/>
        <v>0</v>
      </c>
      <c r="K223" s="99">
        <f t="shared" si="17"/>
        <v>-29070000</v>
      </c>
      <c r="M223" t="s">
        <v>25</v>
      </c>
    </row>
    <row r="224" spans="1:13">
      <c r="A224" s="99" t="s">
        <v>4286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146</v>
      </c>
      <c r="H224" s="99">
        <f t="shared" si="15"/>
        <v>1</v>
      </c>
      <c r="I224" s="99">
        <f t="shared" si="13"/>
        <v>277095</v>
      </c>
      <c r="J224" s="99">
        <f t="shared" si="20"/>
        <v>9420940</v>
      </c>
      <c r="K224" s="99">
        <f t="shared" si="17"/>
        <v>-9143845</v>
      </c>
      <c r="M224" t="s">
        <v>25</v>
      </c>
    </row>
    <row r="225" spans="1:13">
      <c r="A225" s="99" t="s">
        <v>4305</v>
      </c>
      <c r="B225" s="18">
        <v>5000000</v>
      </c>
      <c r="C225" s="18">
        <v>0</v>
      </c>
      <c r="D225" s="18">
        <f t="shared" si="18"/>
        <v>5000000</v>
      </c>
      <c r="E225" s="99" t="s">
        <v>3891</v>
      </c>
      <c r="F225" s="99">
        <v>1</v>
      </c>
      <c r="G225" s="36">
        <f t="shared" si="21"/>
        <v>140</v>
      </c>
      <c r="H225" s="99">
        <f t="shared" si="15"/>
        <v>1</v>
      </c>
      <c r="I225" s="99">
        <f t="shared" si="13"/>
        <v>695000000</v>
      </c>
      <c r="J225" s="99">
        <f t="shared" si="20"/>
        <v>0</v>
      </c>
      <c r="K225" s="99">
        <f t="shared" si="17"/>
        <v>695000000</v>
      </c>
    </row>
    <row r="226" spans="1:13">
      <c r="A226" s="99" t="s">
        <v>4310</v>
      </c>
      <c r="B226" s="18">
        <v>-3200000</v>
      </c>
      <c r="C226" s="18">
        <v>0</v>
      </c>
      <c r="D226" s="18">
        <f t="shared" si="18"/>
        <v>-3200000</v>
      </c>
      <c r="E226" s="99" t="s">
        <v>4320</v>
      </c>
      <c r="F226" s="99">
        <v>0</v>
      </c>
      <c r="G226" s="36">
        <f t="shared" si="21"/>
        <v>139</v>
      </c>
      <c r="H226" s="99">
        <f t="shared" si="15"/>
        <v>0</v>
      </c>
      <c r="I226" s="99">
        <f t="shared" si="13"/>
        <v>-444800000</v>
      </c>
      <c r="J226" s="99">
        <f t="shared" si="20"/>
        <v>0</v>
      </c>
      <c r="K226" s="99">
        <f t="shared" si="17"/>
        <v>-444800000</v>
      </c>
    </row>
    <row r="227" spans="1:13">
      <c r="A227" s="99" t="s">
        <v>4310</v>
      </c>
      <c r="B227" s="18">
        <v>2400000</v>
      </c>
      <c r="C227" s="18">
        <v>0</v>
      </c>
      <c r="D227" s="18">
        <f t="shared" si="18"/>
        <v>2400000</v>
      </c>
      <c r="E227" s="99" t="s">
        <v>3891</v>
      </c>
      <c r="F227" s="99">
        <v>2</v>
      </c>
      <c r="G227" s="36">
        <f t="shared" si="21"/>
        <v>139</v>
      </c>
      <c r="H227" s="99">
        <f t="shared" si="15"/>
        <v>1</v>
      </c>
      <c r="I227" s="99">
        <f t="shared" si="13"/>
        <v>331200000</v>
      </c>
      <c r="J227" s="99">
        <f t="shared" si="20"/>
        <v>0</v>
      </c>
      <c r="K227" s="99">
        <f t="shared" si="17"/>
        <v>331200000</v>
      </c>
    </row>
    <row r="228" spans="1:13">
      <c r="A228" s="99" t="s">
        <v>4335</v>
      </c>
      <c r="B228" s="18">
        <v>-50000</v>
      </c>
      <c r="C228" s="18">
        <v>0</v>
      </c>
      <c r="D228" s="18">
        <f t="shared" si="18"/>
        <v>-50000</v>
      </c>
      <c r="E228" s="99" t="s">
        <v>4339</v>
      </c>
      <c r="F228" s="99">
        <v>1</v>
      </c>
      <c r="G228" s="36">
        <f t="shared" si="21"/>
        <v>137</v>
      </c>
      <c r="H228" s="99">
        <f t="shared" si="15"/>
        <v>0</v>
      </c>
      <c r="I228" s="99">
        <f t="shared" si="13"/>
        <v>-6850000</v>
      </c>
      <c r="J228" s="99">
        <f t="shared" si="20"/>
        <v>0</v>
      </c>
      <c r="K228" s="99">
        <f t="shared" si="17"/>
        <v>-6850000</v>
      </c>
    </row>
    <row r="229" spans="1:13">
      <c r="A229" s="99" t="s">
        <v>4329</v>
      </c>
      <c r="B229" s="18">
        <v>-4100700</v>
      </c>
      <c r="C229" s="18">
        <v>0</v>
      </c>
      <c r="D229" s="18">
        <f t="shared" si="18"/>
        <v>-4100700</v>
      </c>
      <c r="E229" s="99" t="s">
        <v>4340</v>
      </c>
      <c r="F229" s="99">
        <v>4</v>
      </c>
      <c r="G229" s="36">
        <f t="shared" si="21"/>
        <v>136</v>
      </c>
      <c r="H229" s="99">
        <f t="shared" si="15"/>
        <v>0</v>
      </c>
      <c r="I229" s="99">
        <f t="shared" si="13"/>
        <v>-557695200</v>
      </c>
      <c r="J229" s="99">
        <f t="shared" si="20"/>
        <v>0</v>
      </c>
      <c r="K229" s="99">
        <f t="shared" si="17"/>
        <v>-557695200</v>
      </c>
    </row>
    <row r="230" spans="1:13">
      <c r="A230" s="99" t="s">
        <v>4347</v>
      </c>
      <c r="B230" s="18">
        <v>9700000</v>
      </c>
      <c r="C230" s="18">
        <v>0</v>
      </c>
      <c r="D230" s="18">
        <f t="shared" si="18"/>
        <v>9700000</v>
      </c>
      <c r="E230" s="99" t="s">
        <v>3891</v>
      </c>
      <c r="F230" s="99">
        <v>0</v>
      </c>
      <c r="G230" s="36">
        <f t="shared" si="21"/>
        <v>132</v>
      </c>
      <c r="H230" s="99">
        <f t="shared" si="15"/>
        <v>1</v>
      </c>
      <c r="I230" s="99">
        <f t="shared" si="13"/>
        <v>1270700000</v>
      </c>
      <c r="J230" s="99">
        <f t="shared" si="20"/>
        <v>0</v>
      </c>
      <c r="K230" s="99">
        <f t="shared" si="17"/>
        <v>1270700000</v>
      </c>
    </row>
    <row r="231" spans="1:13">
      <c r="A231" s="99" t="s">
        <v>4347</v>
      </c>
      <c r="B231" s="18">
        <v>-3000900</v>
      </c>
      <c r="C231" s="18">
        <v>0</v>
      </c>
      <c r="D231" s="18">
        <f t="shared" si="18"/>
        <v>-3000900</v>
      </c>
      <c r="E231" s="99" t="s">
        <v>4355</v>
      </c>
      <c r="F231" s="99">
        <v>1</v>
      </c>
      <c r="G231" s="36">
        <f t="shared" si="21"/>
        <v>132</v>
      </c>
      <c r="H231" s="99">
        <f t="shared" si="15"/>
        <v>0</v>
      </c>
      <c r="I231" s="99">
        <f t="shared" si="13"/>
        <v>-396118800</v>
      </c>
      <c r="J231" s="99">
        <f t="shared" si="20"/>
        <v>0</v>
      </c>
      <c r="K231" s="99">
        <f t="shared" si="17"/>
        <v>-396118800</v>
      </c>
    </row>
    <row r="232" spans="1:13">
      <c r="A232" s="99" t="s">
        <v>4348</v>
      </c>
      <c r="B232" s="18">
        <v>-3000900</v>
      </c>
      <c r="C232" s="18">
        <v>0</v>
      </c>
      <c r="D232" s="18">
        <f t="shared" si="18"/>
        <v>-3000900</v>
      </c>
      <c r="E232" s="99" t="s">
        <v>4355</v>
      </c>
      <c r="F232" s="99">
        <v>0</v>
      </c>
      <c r="G232" s="36">
        <f t="shared" si="21"/>
        <v>131</v>
      </c>
      <c r="H232" s="99">
        <f t="shared" si="15"/>
        <v>0</v>
      </c>
      <c r="I232" s="99">
        <f t="shared" si="13"/>
        <v>-393117900</v>
      </c>
      <c r="J232" s="99">
        <f t="shared" si="20"/>
        <v>0</v>
      </c>
      <c r="K232" s="99">
        <f t="shared" si="17"/>
        <v>-393117900</v>
      </c>
    </row>
    <row r="233" spans="1:13">
      <c r="A233" s="99" t="s">
        <v>4348</v>
      </c>
      <c r="B233" s="18">
        <v>-555000</v>
      </c>
      <c r="C233" s="18">
        <v>0</v>
      </c>
      <c r="D233" s="18">
        <f t="shared" si="18"/>
        <v>-555000</v>
      </c>
      <c r="E233" s="99" t="s">
        <v>4259</v>
      </c>
      <c r="F233" s="99">
        <v>1</v>
      </c>
      <c r="G233" s="36">
        <f t="shared" si="21"/>
        <v>131</v>
      </c>
      <c r="H233" s="99">
        <f t="shared" si="15"/>
        <v>0</v>
      </c>
      <c r="I233" s="99">
        <f t="shared" si="13"/>
        <v>-72705000</v>
      </c>
      <c r="J233" s="99">
        <f t="shared" si="20"/>
        <v>0</v>
      </c>
      <c r="K233" s="99">
        <f t="shared" si="17"/>
        <v>-72705000</v>
      </c>
    </row>
    <row r="234" spans="1:13">
      <c r="A234" s="99" t="s">
        <v>4367</v>
      </c>
      <c r="B234" s="18">
        <v>-138360</v>
      </c>
      <c r="C234" s="18">
        <v>0</v>
      </c>
      <c r="D234" s="18">
        <f t="shared" si="18"/>
        <v>-138360</v>
      </c>
      <c r="E234" s="99" t="s">
        <v>4369</v>
      </c>
      <c r="F234" s="99">
        <v>1</v>
      </c>
      <c r="G234" s="36">
        <f t="shared" si="21"/>
        <v>130</v>
      </c>
      <c r="H234" s="99">
        <f t="shared" si="15"/>
        <v>0</v>
      </c>
      <c r="I234" s="99">
        <f t="shared" si="13"/>
        <v>-17986800</v>
      </c>
      <c r="J234" s="99">
        <f t="shared" si="20"/>
        <v>0</v>
      </c>
      <c r="K234" s="99">
        <f t="shared" si="17"/>
        <v>-17986800</v>
      </c>
    </row>
    <row r="235" spans="1:13">
      <c r="A235" s="99" t="s">
        <v>4370</v>
      </c>
      <c r="B235" s="18">
        <v>-3000900</v>
      </c>
      <c r="C235" s="18">
        <v>0</v>
      </c>
      <c r="D235" s="18">
        <f t="shared" si="18"/>
        <v>-3000900</v>
      </c>
      <c r="E235" s="99" t="s">
        <v>4355</v>
      </c>
      <c r="F235" s="99">
        <v>2</v>
      </c>
      <c r="G235" s="36">
        <f t="shared" si="21"/>
        <v>129</v>
      </c>
      <c r="H235" s="99">
        <f t="shared" si="15"/>
        <v>0</v>
      </c>
      <c r="I235" s="99">
        <f t="shared" si="13"/>
        <v>-387116100</v>
      </c>
      <c r="J235" s="99">
        <f t="shared" si="20"/>
        <v>0</v>
      </c>
      <c r="K235" s="99">
        <f t="shared" si="17"/>
        <v>-387116100</v>
      </c>
      <c r="M235" t="s">
        <v>25</v>
      </c>
    </row>
    <row r="236" spans="1:13">
      <c r="A236" s="99" t="s">
        <v>4376</v>
      </c>
      <c r="B236" s="18">
        <v>-55000</v>
      </c>
      <c r="C236" s="18">
        <v>0</v>
      </c>
      <c r="D236" s="18">
        <f t="shared" si="18"/>
        <v>-55000</v>
      </c>
      <c r="E236" s="99" t="s">
        <v>4153</v>
      </c>
      <c r="F236" s="99">
        <v>4</v>
      </c>
      <c r="G236" s="36">
        <f t="shared" si="21"/>
        <v>127</v>
      </c>
      <c r="H236" s="99">
        <f t="shared" si="15"/>
        <v>0</v>
      </c>
      <c r="I236" s="99">
        <f t="shared" si="13"/>
        <v>-6985000</v>
      </c>
      <c r="J236" s="99">
        <f t="shared" si="20"/>
        <v>0</v>
      </c>
      <c r="K236" s="99">
        <f t="shared" si="17"/>
        <v>-6985000</v>
      </c>
    </row>
    <row r="237" spans="1:13">
      <c r="A237" s="99" t="s">
        <v>4393</v>
      </c>
      <c r="B237" s="18">
        <v>6035000</v>
      </c>
      <c r="C237" s="18">
        <v>0</v>
      </c>
      <c r="D237" s="18">
        <f t="shared" si="18"/>
        <v>6035000</v>
      </c>
      <c r="E237" s="99" t="s">
        <v>3891</v>
      </c>
      <c r="F237" s="99">
        <v>2</v>
      </c>
      <c r="G237" s="36">
        <f t="shared" si="21"/>
        <v>123</v>
      </c>
      <c r="H237" s="99">
        <f t="shared" si="15"/>
        <v>1</v>
      </c>
      <c r="I237" s="99">
        <f t="shared" si="13"/>
        <v>736270000</v>
      </c>
      <c r="J237" s="99">
        <f t="shared" si="20"/>
        <v>0</v>
      </c>
      <c r="K237" s="99">
        <f t="shared" si="17"/>
        <v>736270000</v>
      </c>
    </row>
    <row r="238" spans="1:13">
      <c r="A238" s="99" t="s">
        <v>4400</v>
      </c>
      <c r="B238" s="18">
        <v>-7500</v>
      </c>
      <c r="C238" s="18">
        <v>0</v>
      </c>
      <c r="D238" s="18">
        <f t="shared" si="18"/>
        <v>-7500</v>
      </c>
      <c r="E238" s="99" t="s">
        <v>4401</v>
      </c>
      <c r="F238" s="99">
        <v>1</v>
      </c>
      <c r="G238" s="36">
        <f t="shared" si="21"/>
        <v>121</v>
      </c>
      <c r="H238" s="99">
        <f t="shared" si="15"/>
        <v>0</v>
      </c>
      <c r="I238" s="99">
        <f t="shared" si="13"/>
        <v>-907500</v>
      </c>
      <c r="J238" s="99">
        <f t="shared" si="20"/>
        <v>0</v>
      </c>
      <c r="K238" s="99">
        <f t="shared" si="17"/>
        <v>-907500</v>
      </c>
    </row>
    <row r="239" spans="1:13">
      <c r="A239" s="99" t="s">
        <v>4402</v>
      </c>
      <c r="B239" s="18">
        <v>-4098523</v>
      </c>
      <c r="C239" s="18">
        <v>0</v>
      </c>
      <c r="D239" s="18">
        <f t="shared" si="18"/>
        <v>-4098523</v>
      </c>
      <c r="E239" s="99" t="s">
        <v>4403</v>
      </c>
      <c r="F239" s="99">
        <v>0</v>
      </c>
      <c r="G239" s="36">
        <f t="shared" si="21"/>
        <v>120</v>
      </c>
      <c r="H239" s="99">
        <f t="shared" si="15"/>
        <v>0</v>
      </c>
      <c r="I239" s="99">
        <f t="shared" si="13"/>
        <v>-491822760</v>
      </c>
      <c r="J239" s="99">
        <f t="shared" si="20"/>
        <v>0</v>
      </c>
      <c r="K239" s="99">
        <f t="shared" si="17"/>
        <v>-491822760</v>
      </c>
    </row>
    <row r="240" spans="1:13">
      <c r="A240" s="99" t="s">
        <v>4404</v>
      </c>
      <c r="B240" s="18">
        <v>-33225</v>
      </c>
      <c r="C240" s="18">
        <v>0</v>
      </c>
      <c r="D240" s="18">
        <f t="shared" si="18"/>
        <v>-33225</v>
      </c>
      <c r="E240" s="99" t="s">
        <v>4259</v>
      </c>
      <c r="F240" s="99">
        <v>0</v>
      </c>
      <c r="G240" s="36">
        <f t="shared" si="21"/>
        <v>120</v>
      </c>
      <c r="H240" s="99">
        <f t="shared" si="15"/>
        <v>0</v>
      </c>
      <c r="I240" s="99">
        <f t="shared" si="13"/>
        <v>-3987000</v>
      </c>
      <c r="J240" s="99">
        <f t="shared" si="20"/>
        <v>0</v>
      </c>
      <c r="K240" s="99">
        <f t="shared" si="17"/>
        <v>-3987000</v>
      </c>
    </row>
    <row r="241" spans="1:13">
      <c r="A241" s="99" t="s">
        <v>4404</v>
      </c>
      <c r="B241" s="18">
        <v>-1895000</v>
      </c>
      <c r="C241" s="18">
        <v>0</v>
      </c>
      <c r="D241" s="18">
        <f t="shared" si="18"/>
        <v>-1895000</v>
      </c>
      <c r="E241" s="99" t="s">
        <v>3770</v>
      </c>
      <c r="F241" s="99">
        <v>7</v>
      </c>
      <c r="G241" s="36">
        <f t="shared" si="21"/>
        <v>120</v>
      </c>
      <c r="H241" s="99">
        <f t="shared" si="15"/>
        <v>0</v>
      </c>
      <c r="I241" s="99">
        <f t="shared" si="13"/>
        <v>-227400000</v>
      </c>
      <c r="J241" s="99">
        <f t="shared" si="20"/>
        <v>0</v>
      </c>
      <c r="K241" s="99">
        <f t="shared" si="17"/>
        <v>-227400000</v>
      </c>
    </row>
    <row r="242" spans="1:13">
      <c r="A242" s="99" t="s">
        <v>4438</v>
      </c>
      <c r="B242" s="18">
        <v>2500000</v>
      </c>
      <c r="C242" s="18">
        <v>0</v>
      </c>
      <c r="D242" s="18">
        <f t="shared" si="18"/>
        <v>2500000</v>
      </c>
      <c r="E242" s="99" t="s">
        <v>3891</v>
      </c>
      <c r="F242" s="99">
        <v>2</v>
      </c>
      <c r="G242" s="36">
        <f t="shared" si="21"/>
        <v>113</v>
      </c>
      <c r="H242" s="99">
        <f t="shared" si="15"/>
        <v>1</v>
      </c>
      <c r="I242" s="99">
        <f t="shared" si="13"/>
        <v>280000000</v>
      </c>
      <c r="J242" s="99">
        <f t="shared" si="20"/>
        <v>0</v>
      </c>
      <c r="K242" s="99">
        <f t="shared" si="17"/>
        <v>280000000</v>
      </c>
    </row>
    <row r="243" spans="1:13">
      <c r="A243" s="99" t="s">
        <v>4440</v>
      </c>
      <c r="B243" s="18">
        <v>-2500000</v>
      </c>
      <c r="C243" s="18">
        <v>0</v>
      </c>
      <c r="D243" s="18">
        <f t="shared" si="18"/>
        <v>-2500000</v>
      </c>
      <c r="E243" s="99" t="s">
        <v>3770</v>
      </c>
      <c r="F243" s="99">
        <v>2</v>
      </c>
      <c r="G243" s="36">
        <f t="shared" si="21"/>
        <v>111</v>
      </c>
      <c r="H243" s="99">
        <f t="shared" si="15"/>
        <v>0</v>
      </c>
      <c r="I243" s="99">
        <f t="shared" si="13"/>
        <v>-277500000</v>
      </c>
      <c r="J243" s="99">
        <f t="shared" si="20"/>
        <v>0</v>
      </c>
      <c r="K243" s="99">
        <f t="shared" si="17"/>
        <v>-277500000</v>
      </c>
    </row>
    <row r="244" spans="1:13">
      <c r="A244" s="99" t="s">
        <v>4445</v>
      </c>
      <c r="B244" s="18">
        <v>1100000</v>
      </c>
      <c r="C244" s="18">
        <v>0</v>
      </c>
      <c r="D244" s="18">
        <f t="shared" si="18"/>
        <v>1100000</v>
      </c>
      <c r="E244" s="99" t="s">
        <v>3891</v>
      </c>
      <c r="F244" s="99">
        <v>2</v>
      </c>
      <c r="G244" s="36">
        <f t="shared" si="21"/>
        <v>109</v>
      </c>
      <c r="H244" s="99">
        <f t="shared" si="15"/>
        <v>1</v>
      </c>
      <c r="I244" s="99">
        <f t="shared" si="13"/>
        <v>118800000</v>
      </c>
      <c r="J244" s="99">
        <f t="shared" si="20"/>
        <v>0</v>
      </c>
      <c r="K244" s="99">
        <f t="shared" si="17"/>
        <v>118800000</v>
      </c>
    </row>
    <row r="245" spans="1:13">
      <c r="A245" s="99" t="s">
        <v>4447</v>
      </c>
      <c r="B245" s="18">
        <v>3000000</v>
      </c>
      <c r="C245" s="18">
        <v>0</v>
      </c>
      <c r="D245" s="18">
        <f t="shared" si="18"/>
        <v>3000000</v>
      </c>
      <c r="E245" s="99" t="s">
        <v>4449</v>
      </c>
      <c r="F245" s="99">
        <v>2</v>
      </c>
      <c r="G245" s="36">
        <f t="shared" si="21"/>
        <v>107</v>
      </c>
      <c r="H245" s="99">
        <f t="shared" si="15"/>
        <v>1</v>
      </c>
      <c r="I245" s="99">
        <f t="shared" si="13"/>
        <v>318000000</v>
      </c>
      <c r="J245" s="99">
        <f t="shared" si="20"/>
        <v>0</v>
      </c>
      <c r="K245" s="99">
        <f t="shared" si="17"/>
        <v>318000000</v>
      </c>
    </row>
    <row r="246" spans="1:13">
      <c r="A246" s="99" t="s">
        <v>4444</v>
      </c>
      <c r="B246" s="18">
        <v>-4040700</v>
      </c>
      <c r="C246" s="18">
        <v>0</v>
      </c>
      <c r="D246" s="18">
        <f t="shared" si="18"/>
        <v>-4040700</v>
      </c>
      <c r="E246" s="99" t="s">
        <v>4482</v>
      </c>
      <c r="F246" s="99">
        <v>0</v>
      </c>
      <c r="G246" s="36">
        <f t="shared" si="21"/>
        <v>105</v>
      </c>
      <c r="H246" s="99">
        <f t="shared" si="15"/>
        <v>0</v>
      </c>
      <c r="I246" s="99">
        <f t="shared" si="13"/>
        <v>-424273500</v>
      </c>
      <c r="J246" s="99">
        <f t="shared" si="20"/>
        <v>0</v>
      </c>
      <c r="K246" s="99">
        <f t="shared" si="17"/>
        <v>-424273500</v>
      </c>
    </row>
    <row r="247" spans="1:13">
      <c r="A247" s="99" t="s">
        <v>4444</v>
      </c>
      <c r="B247" s="18">
        <v>490000</v>
      </c>
      <c r="C247" s="18">
        <v>0</v>
      </c>
      <c r="D247" s="18">
        <f t="shared" si="18"/>
        <v>490000</v>
      </c>
      <c r="E247" s="99" t="s">
        <v>3891</v>
      </c>
      <c r="F247" s="99">
        <v>1</v>
      </c>
      <c r="G247" s="36">
        <f t="shared" si="21"/>
        <v>105</v>
      </c>
      <c r="H247" s="99">
        <f t="shared" si="15"/>
        <v>1</v>
      </c>
      <c r="I247" s="99">
        <f t="shared" si="13"/>
        <v>50960000</v>
      </c>
      <c r="J247" s="99">
        <f t="shared" si="20"/>
        <v>0</v>
      </c>
      <c r="K247" s="99">
        <f t="shared" si="17"/>
        <v>50960000</v>
      </c>
    </row>
    <row r="248" spans="1:13">
      <c r="A248" s="99" t="s">
        <v>4485</v>
      </c>
      <c r="B248" s="18">
        <v>1400000</v>
      </c>
      <c r="C248" s="18">
        <v>0</v>
      </c>
      <c r="D248" s="18">
        <f t="shared" si="18"/>
        <v>1400000</v>
      </c>
      <c r="E248" s="99" t="s">
        <v>3891</v>
      </c>
      <c r="F248" s="99">
        <v>0</v>
      </c>
      <c r="G248" s="36">
        <f t="shared" si="21"/>
        <v>104</v>
      </c>
      <c r="H248" s="99">
        <f t="shared" si="15"/>
        <v>1</v>
      </c>
      <c r="I248" s="99">
        <f t="shared" si="13"/>
        <v>144200000</v>
      </c>
      <c r="J248" s="99">
        <f t="shared" si="20"/>
        <v>0</v>
      </c>
      <c r="K248" s="99">
        <f t="shared" si="17"/>
        <v>144200000</v>
      </c>
      <c r="M248" t="s">
        <v>25</v>
      </c>
    </row>
    <row r="249" spans="1:13">
      <c r="A249" s="99" t="s">
        <v>4485</v>
      </c>
      <c r="B249" s="18">
        <v>-1500000</v>
      </c>
      <c r="C249" s="18">
        <v>0</v>
      </c>
      <c r="D249" s="18">
        <f t="shared" si="18"/>
        <v>-1500000</v>
      </c>
      <c r="E249" s="99" t="s">
        <v>3770</v>
      </c>
      <c r="F249" s="99">
        <v>1</v>
      </c>
      <c r="G249" s="36">
        <f t="shared" si="21"/>
        <v>104</v>
      </c>
      <c r="H249" s="99">
        <f t="shared" si="15"/>
        <v>0</v>
      </c>
      <c r="I249" s="99">
        <f t="shared" si="13"/>
        <v>-156000000</v>
      </c>
      <c r="J249" s="99">
        <f t="shared" si="20"/>
        <v>0</v>
      </c>
      <c r="K249" s="99">
        <f t="shared" si="17"/>
        <v>-156000000</v>
      </c>
    </row>
    <row r="250" spans="1:13">
      <c r="A250" s="99" t="s">
        <v>4491</v>
      </c>
      <c r="B250" s="18">
        <v>-100000</v>
      </c>
      <c r="C250" s="18">
        <v>0</v>
      </c>
      <c r="D250" s="18">
        <f t="shared" si="18"/>
        <v>-100000</v>
      </c>
      <c r="E250" s="99" t="s">
        <v>3770</v>
      </c>
      <c r="F250" s="99">
        <v>1</v>
      </c>
      <c r="G250" s="36">
        <f t="shared" si="21"/>
        <v>103</v>
      </c>
      <c r="H250" s="99">
        <f t="shared" si="15"/>
        <v>0</v>
      </c>
      <c r="I250" s="99">
        <f t="shared" si="13"/>
        <v>-10300000</v>
      </c>
      <c r="J250" s="99">
        <f t="shared" si="20"/>
        <v>0</v>
      </c>
      <c r="K250" s="99">
        <f t="shared" si="17"/>
        <v>-10300000</v>
      </c>
    </row>
    <row r="251" spans="1:13">
      <c r="A251" s="99" t="s">
        <v>4232</v>
      </c>
      <c r="B251" s="18">
        <v>-13900</v>
      </c>
      <c r="C251" s="18">
        <v>0</v>
      </c>
      <c r="D251" s="18">
        <f t="shared" si="18"/>
        <v>-13900</v>
      </c>
      <c r="E251" s="99" t="s">
        <v>4014</v>
      </c>
      <c r="F251" s="99">
        <v>0</v>
      </c>
      <c r="G251" s="36">
        <f t="shared" si="21"/>
        <v>102</v>
      </c>
      <c r="H251" s="99">
        <f t="shared" si="15"/>
        <v>0</v>
      </c>
      <c r="I251" s="99">
        <f t="shared" si="13"/>
        <v>-1417800</v>
      </c>
      <c r="J251" s="99">
        <f t="shared" si="20"/>
        <v>0</v>
      </c>
      <c r="K251" s="99">
        <f t="shared" si="17"/>
        <v>-1417800</v>
      </c>
    </row>
    <row r="252" spans="1:13">
      <c r="A252" s="99" t="s">
        <v>4232</v>
      </c>
      <c r="B252" s="18">
        <v>300000</v>
      </c>
      <c r="C252" s="18">
        <v>0</v>
      </c>
      <c r="D252" s="18">
        <f t="shared" si="18"/>
        <v>300000</v>
      </c>
      <c r="E252" s="99" t="s">
        <v>3891</v>
      </c>
      <c r="F252" s="99">
        <v>2</v>
      </c>
      <c r="G252" s="36">
        <f t="shared" si="21"/>
        <v>102</v>
      </c>
      <c r="H252" s="99">
        <f t="shared" si="15"/>
        <v>1</v>
      </c>
      <c r="I252" s="99">
        <f t="shared" si="13"/>
        <v>30300000</v>
      </c>
      <c r="J252" s="99">
        <f t="shared" si="20"/>
        <v>0</v>
      </c>
      <c r="K252" s="99">
        <f t="shared" si="17"/>
        <v>30300000</v>
      </c>
    </row>
    <row r="253" spans="1:13">
      <c r="A253" s="99" t="s">
        <v>4499</v>
      </c>
      <c r="B253" s="18">
        <v>12000000</v>
      </c>
      <c r="C253" s="18">
        <v>0</v>
      </c>
      <c r="D253" s="18">
        <f t="shared" si="18"/>
        <v>12000000</v>
      </c>
      <c r="E253" s="99" t="s">
        <v>4500</v>
      </c>
      <c r="F253" s="99">
        <v>1</v>
      </c>
      <c r="G253" s="36">
        <f t="shared" si="21"/>
        <v>100</v>
      </c>
      <c r="H253" s="99">
        <f t="shared" si="15"/>
        <v>1</v>
      </c>
      <c r="I253" s="99">
        <f t="shared" si="13"/>
        <v>1188000000</v>
      </c>
      <c r="J253" s="99">
        <f t="shared" si="20"/>
        <v>0</v>
      </c>
      <c r="K253" s="99">
        <f t="shared" si="17"/>
        <v>1188000000</v>
      </c>
    </row>
    <row r="254" spans="1:13">
      <c r="A254" s="99" t="s">
        <v>4501</v>
      </c>
      <c r="B254" s="18">
        <v>3000000</v>
      </c>
      <c r="C254" s="18">
        <v>0</v>
      </c>
      <c r="D254" s="18">
        <f t="shared" si="18"/>
        <v>3000000</v>
      </c>
      <c r="E254" s="99" t="s">
        <v>3891</v>
      </c>
      <c r="F254" s="99">
        <v>1</v>
      </c>
      <c r="G254" s="36">
        <f t="shared" si="21"/>
        <v>99</v>
      </c>
      <c r="H254" s="99">
        <f t="shared" si="15"/>
        <v>1</v>
      </c>
      <c r="I254" s="99">
        <f t="shared" si="13"/>
        <v>294000000</v>
      </c>
      <c r="J254" s="99">
        <f t="shared" si="20"/>
        <v>0</v>
      </c>
      <c r="K254" s="99">
        <f t="shared" si="17"/>
        <v>294000000</v>
      </c>
    </row>
    <row r="255" spans="1:13">
      <c r="A255" s="99" t="s">
        <v>4503</v>
      </c>
      <c r="B255" s="18">
        <v>-14000000</v>
      </c>
      <c r="C255" s="18">
        <v>0</v>
      </c>
      <c r="D255" s="18">
        <f t="shared" si="18"/>
        <v>-14000000</v>
      </c>
      <c r="E255" s="99" t="s">
        <v>3770</v>
      </c>
      <c r="F255" s="99">
        <v>1</v>
      </c>
      <c r="G255" s="36">
        <f t="shared" si="21"/>
        <v>98</v>
      </c>
      <c r="H255" s="99">
        <f t="shared" si="15"/>
        <v>0</v>
      </c>
      <c r="I255" s="99">
        <f t="shared" si="13"/>
        <v>-1372000000</v>
      </c>
      <c r="J255" s="99">
        <f t="shared" si="20"/>
        <v>0</v>
      </c>
      <c r="K255" s="99">
        <f t="shared" si="17"/>
        <v>-1372000000</v>
      </c>
    </row>
    <row r="256" spans="1:13">
      <c r="A256" s="99" t="s">
        <v>4505</v>
      </c>
      <c r="B256" s="18">
        <v>-124969</v>
      </c>
      <c r="C256" s="18">
        <v>0</v>
      </c>
      <c r="D256" s="18">
        <f t="shared" si="18"/>
        <v>-124969</v>
      </c>
      <c r="E256" s="99" t="s">
        <v>4014</v>
      </c>
      <c r="F256" s="99">
        <v>0</v>
      </c>
      <c r="G256" s="36">
        <f t="shared" si="21"/>
        <v>97</v>
      </c>
      <c r="H256" s="99">
        <f t="shared" si="15"/>
        <v>0</v>
      </c>
      <c r="I256" s="99">
        <f t="shared" si="13"/>
        <v>-12121993</v>
      </c>
      <c r="J256" s="99">
        <f t="shared" si="20"/>
        <v>0</v>
      </c>
      <c r="K256" s="99">
        <f t="shared" si="17"/>
        <v>-12121993</v>
      </c>
    </row>
    <row r="257" spans="1:13">
      <c r="A257" s="99" t="s">
        <v>4505</v>
      </c>
      <c r="B257" s="18">
        <v>0</v>
      </c>
      <c r="C257" s="39">
        <v>-7968789</v>
      </c>
      <c r="D257" s="39">
        <f t="shared" si="18"/>
        <v>7968789</v>
      </c>
      <c r="E257" s="99" t="s">
        <v>4507</v>
      </c>
      <c r="F257" s="99">
        <v>1</v>
      </c>
      <c r="G257" s="36">
        <f t="shared" si="21"/>
        <v>97</v>
      </c>
      <c r="H257" s="99">
        <f t="shared" si="15"/>
        <v>0</v>
      </c>
      <c r="I257" s="99">
        <f t="shared" si="13"/>
        <v>0</v>
      </c>
      <c r="J257" s="99">
        <f t="shared" si="20"/>
        <v>-772972533</v>
      </c>
      <c r="K257" s="99">
        <f t="shared" si="17"/>
        <v>772972533</v>
      </c>
    </row>
    <row r="258" spans="1:13">
      <c r="A258" s="99" t="s">
        <v>4509</v>
      </c>
      <c r="B258" s="18">
        <v>-1313000</v>
      </c>
      <c r="C258" s="18">
        <v>0</v>
      </c>
      <c r="D258" s="18">
        <f t="shared" si="18"/>
        <v>-1313000</v>
      </c>
      <c r="E258" s="99" t="s">
        <v>3770</v>
      </c>
      <c r="F258" s="99">
        <v>3</v>
      </c>
      <c r="G258" s="36">
        <f t="shared" si="21"/>
        <v>96</v>
      </c>
      <c r="H258" s="99">
        <f t="shared" si="15"/>
        <v>0</v>
      </c>
      <c r="I258" s="99">
        <f t="shared" si="13"/>
        <v>-126048000</v>
      </c>
      <c r="J258" s="99">
        <f t="shared" si="20"/>
        <v>0</v>
      </c>
      <c r="K258" s="99">
        <f t="shared" si="17"/>
        <v>-126048000</v>
      </c>
    </row>
    <row r="259" spans="1:13">
      <c r="A259" s="99" t="s">
        <v>4515</v>
      </c>
      <c r="B259" s="18">
        <v>2000000</v>
      </c>
      <c r="C259" s="18">
        <v>0</v>
      </c>
      <c r="D259" s="18">
        <f t="shared" si="18"/>
        <v>2000000</v>
      </c>
      <c r="E259" s="99" t="s">
        <v>3891</v>
      </c>
      <c r="F259" s="99">
        <v>1</v>
      </c>
      <c r="G259" s="36">
        <f t="shared" si="21"/>
        <v>93</v>
      </c>
      <c r="H259" s="99">
        <f t="shared" si="15"/>
        <v>1</v>
      </c>
      <c r="I259" s="99">
        <f t="shared" si="13"/>
        <v>184000000</v>
      </c>
      <c r="J259" s="99">
        <f t="shared" si="20"/>
        <v>0</v>
      </c>
      <c r="K259" s="99">
        <f t="shared" si="17"/>
        <v>184000000</v>
      </c>
      <c r="M259" t="s">
        <v>25</v>
      </c>
    </row>
    <row r="260" spans="1:13">
      <c r="A260" s="99" t="s">
        <v>4516</v>
      </c>
      <c r="B260" s="18">
        <v>-1900000</v>
      </c>
      <c r="C260" s="18">
        <v>0</v>
      </c>
      <c r="D260" s="18">
        <f t="shared" si="18"/>
        <v>-1900000</v>
      </c>
      <c r="E260" s="99" t="s">
        <v>3770</v>
      </c>
      <c r="F260" s="99">
        <v>0</v>
      </c>
      <c r="G260" s="36">
        <f t="shared" si="21"/>
        <v>92</v>
      </c>
      <c r="H260" s="99">
        <f t="shared" si="15"/>
        <v>0</v>
      </c>
      <c r="I260" s="99">
        <f t="shared" si="13"/>
        <v>-174800000</v>
      </c>
      <c r="J260" s="99">
        <f t="shared" si="20"/>
        <v>0</v>
      </c>
      <c r="K260" s="99">
        <f t="shared" si="17"/>
        <v>-174800000</v>
      </c>
    </row>
    <row r="261" spans="1:13">
      <c r="A261" s="99" t="s">
        <v>4516</v>
      </c>
      <c r="B261" s="18">
        <v>-100500</v>
      </c>
      <c r="C261" s="18">
        <v>0</v>
      </c>
      <c r="D261" s="18">
        <f t="shared" si="18"/>
        <v>-100500</v>
      </c>
      <c r="E261" s="99" t="s">
        <v>4518</v>
      </c>
      <c r="F261" s="99">
        <v>0</v>
      </c>
      <c r="G261" s="36">
        <f t="shared" si="21"/>
        <v>92</v>
      </c>
      <c r="H261" s="99">
        <f t="shared" si="15"/>
        <v>0</v>
      </c>
      <c r="I261" s="99">
        <f t="shared" si="13"/>
        <v>-9246000</v>
      </c>
      <c r="J261" s="99">
        <f t="shared" si="20"/>
        <v>0</v>
      </c>
      <c r="K261" s="99">
        <f t="shared" si="17"/>
        <v>-9246000</v>
      </c>
    </row>
    <row r="262" spans="1:13">
      <c r="A262" s="99" t="s">
        <v>4516</v>
      </c>
      <c r="B262" s="18">
        <v>-68670</v>
      </c>
      <c r="C262" s="18">
        <v>0</v>
      </c>
      <c r="D262" s="18">
        <f t="shared" si="18"/>
        <v>-68670</v>
      </c>
      <c r="E262" s="99" t="s">
        <v>4522</v>
      </c>
      <c r="F262" s="99">
        <v>1</v>
      </c>
      <c r="G262" s="36">
        <f t="shared" si="21"/>
        <v>92</v>
      </c>
      <c r="H262" s="99">
        <f t="shared" si="15"/>
        <v>0</v>
      </c>
      <c r="I262" s="99">
        <f t="shared" si="13"/>
        <v>-6317640</v>
      </c>
      <c r="J262" s="99">
        <f t="shared" si="20"/>
        <v>0</v>
      </c>
      <c r="K262" s="99">
        <f t="shared" si="17"/>
        <v>-6317640</v>
      </c>
    </row>
    <row r="263" spans="1:13">
      <c r="A263" s="99" t="s">
        <v>4519</v>
      </c>
      <c r="B263" s="18">
        <v>-118600</v>
      </c>
      <c r="C263" s="18">
        <v>0</v>
      </c>
      <c r="D263" s="18">
        <f t="shared" si="18"/>
        <v>-118600</v>
      </c>
      <c r="E263" s="99" t="s">
        <v>4403</v>
      </c>
      <c r="F263" s="99">
        <v>2</v>
      </c>
      <c r="G263" s="36">
        <f t="shared" si="21"/>
        <v>91</v>
      </c>
      <c r="H263" s="99">
        <f t="shared" si="15"/>
        <v>0</v>
      </c>
      <c r="I263" s="99">
        <f t="shared" si="13"/>
        <v>-10792600</v>
      </c>
      <c r="J263" s="99">
        <f t="shared" si="20"/>
        <v>0</v>
      </c>
      <c r="K263" s="99">
        <f t="shared" si="17"/>
        <v>-10792600</v>
      </c>
      <c r="L263" t="s">
        <v>25</v>
      </c>
    </row>
    <row r="264" spans="1:13">
      <c r="A264" s="99" t="s">
        <v>4529</v>
      </c>
      <c r="B264" s="18">
        <v>6779000</v>
      </c>
      <c r="C264" s="18">
        <v>0</v>
      </c>
      <c r="D264" s="18">
        <f t="shared" si="18"/>
        <v>6779000</v>
      </c>
      <c r="E264" s="99" t="s">
        <v>3891</v>
      </c>
      <c r="F264" s="99">
        <v>0</v>
      </c>
      <c r="G264" s="36">
        <f t="shared" si="21"/>
        <v>89</v>
      </c>
      <c r="H264" s="99">
        <f t="shared" si="15"/>
        <v>1</v>
      </c>
      <c r="I264" s="99">
        <f t="shared" si="13"/>
        <v>596552000</v>
      </c>
      <c r="J264" s="99">
        <f t="shared" si="20"/>
        <v>0</v>
      </c>
      <c r="K264" s="99">
        <f t="shared" si="17"/>
        <v>596552000</v>
      </c>
    </row>
    <row r="265" spans="1:13">
      <c r="A265" s="99" t="s">
        <v>4529</v>
      </c>
      <c r="B265" s="18">
        <v>-6400000</v>
      </c>
      <c r="C265" s="18">
        <v>0</v>
      </c>
      <c r="D265" s="18">
        <f t="shared" si="18"/>
        <v>-6400000</v>
      </c>
      <c r="E265" s="99" t="s">
        <v>3770</v>
      </c>
      <c r="F265" s="99">
        <v>0</v>
      </c>
      <c r="G265" s="36">
        <f t="shared" si="21"/>
        <v>89</v>
      </c>
      <c r="H265" s="99">
        <f t="shared" si="15"/>
        <v>0</v>
      </c>
      <c r="I265" s="99">
        <f t="shared" si="13"/>
        <v>-569600000</v>
      </c>
      <c r="J265" s="99">
        <f t="shared" si="20"/>
        <v>0</v>
      </c>
      <c r="K265" s="99">
        <f t="shared" si="17"/>
        <v>-569600000</v>
      </c>
    </row>
    <row r="266" spans="1:13">
      <c r="A266" s="99" t="s">
        <v>4529</v>
      </c>
      <c r="B266" s="18">
        <v>-389000</v>
      </c>
      <c r="C266" s="18">
        <v>0</v>
      </c>
      <c r="D266" s="18">
        <f t="shared" si="18"/>
        <v>-389000</v>
      </c>
      <c r="E266" s="99" t="s">
        <v>4532</v>
      </c>
      <c r="F266" s="99">
        <v>4</v>
      </c>
      <c r="G266" s="36">
        <f t="shared" si="21"/>
        <v>89</v>
      </c>
      <c r="H266" s="99">
        <f t="shared" si="15"/>
        <v>0</v>
      </c>
      <c r="I266" s="99">
        <f t="shared" si="13"/>
        <v>-34621000</v>
      </c>
      <c r="J266" s="99">
        <f t="shared" si="20"/>
        <v>0</v>
      </c>
      <c r="K266" s="99">
        <f t="shared" si="17"/>
        <v>-34621000</v>
      </c>
      <c r="M266" t="s">
        <v>25</v>
      </c>
    </row>
    <row r="267" spans="1:13">
      <c r="A267" s="99" t="s">
        <v>4556</v>
      </c>
      <c r="B267" s="18">
        <v>220000</v>
      </c>
      <c r="C267" s="18">
        <v>0</v>
      </c>
      <c r="D267" s="18">
        <f t="shared" si="18"/>
        <v>220000</v>
      </c>
      <c r="E267" s="99" t="s">
        <v>3891</v>
      </c>
      <c r="F267" s="99">
        <v>0</v>
      </c>
      <c r="G267" s="36">
        <f t="shared" si="21"/>
        <v>85</v>
      </c>
      <c r="H267" s="99">
        <f t="shared" si="15"/>
        <v>1</v>
      </c>
      <c r="I267" s="99">
        <f t="shared" si="13"/>
        <v>18480000</v>
      </c>
      <c r="J267" s="99">
        <f t="shared" si="20"/>
        <v>0</v>
      </c>
      <c r="K267" s="99">
        <f t="shared" si="17"/>
        <v>18480000</v>
      </c>
    </row>
    <row r="268" spans="1:13">
      <c r="A268" s="99" t="s">
        <v>4557</v>
      </c>
      <c r="B268" s="18">
        <v>-109390</v>
      </c>
      <c r="C268" s="18">
        <v>0</v>
      </c>
      <c r="D268" s="18">
        <f t="shared" si="18"/>
        <v>-109390</v>
      </c>
      <c r="E268" s="99" t="s">
        <v>452</v>
      </c>
      <c r="F268" s="99">
        <v>2</v>
      </c>
      <c r="G268" s="36">
        <f t="shared" si="21"/>
        <v>85</v>
      </c>
      <c r="H268" s="99">
        <f t="shared" si="15"/>
        <v>0</v>
      </c>
      <c r="I268" s="99">
        <f t="shared" si="13"/>
        <v>-9298150</v>
      </c>
      <c r="J268" s="99">
        <f t="shared" si="20"/>
        <v>0</v>
      </c>
      <c r="K268" s="99">
        <f t="shared" si="17"/>
        <v>-9298150</v>
      </c>
    </row>
    <row r="269" spans="1:13">
      <c r="A269" s="99" t="s">
        <v>4560</v>
      </c>
      <c r="B269" s="18">
        <v>100000</v>
      </c>
      <c r="C269" s="18">
        <v>0</v>
      </c>
      <c r="D269" s="18">
        <f t="shared" si="18"/>
        <v>100000</v>
      </c>
      <c r="E269" s="99" t="s">
        <v>3891</v>
      </c>
      <c r="F269" s="99">
        <v>0</v>
      </c>
      <c r="G269" s="36">
        <f t="shared" si="21"/>
        <v>83</v>
      </c>
      <c r="H269" s="99">
        <f t="shared" si="15"/>
        <v>1</v>
      </c>
      <c r="I269" s="99">
        <f t="shared" si="13"/>
        <v>8200000</v>
      </c>
      <c r="J269" s="99">
        <f t="shared" si="20"/>
        <v>0</v>
      </c>
      <c r="K269" s="99">
        <f t="shared" si="17"/>
        <v>8200000</v>
      </c>
    </row>
    <row r="270" spans="1:13">
      <c r="A270" s="99" t="s">
        <v>4560</v>
      </c>
      <c r="B270" s="18">
        <v>2600000</v>
      </c>
      <c r="C270" s="18">
        <v>0</v>
      </c>
      <c r="D270" s="18">
        <f t="shared" si="18"/>
        <v>2600000</v>
      </c>
      <c r="E270" s="99" t="s">
        <v>3891</v>
      </c>
      <c r="F270" s="99">
        <v>1</v>
      </c>
      <c r="G270" s="36">
        <f t="shared" si="21"/>
        <v>83</v>
      </c>
      <c r="H270" s="99">
        <f t="shared" si="15"/>
        <v>1</v>
      </c>
      <c r="I270" s="99">
        <f t="shared" si="13"/>
        <v>213200000</v>
      </c>
      <c r="J270" s="99">
        <f t="shared" si="20"/>
        <v>0</v>
      </c>
      <c r="K270" s="99">
        <f t="shared" si="17"/>
        <v>213200000</v>
      </c>
      <c r="L270" t="s">
        <v>25</v>
      </c>
    </row>
    <row r="271" spans="1:13">
      <c r="A271" s="99" t="s">
        <v>4563</v>
      </c>
      <c r="B271" s="18">
        <v>4400000</v>
      </c>
      <c r="C271" s="18">
        <v>0</v>
      </c>
      <c r="D271" s="18">
        <f t="shared" si="18"/>
        <v>4400000</v>
      </c>
      <c r="E271" s="99" t="s">
        <v>3891</v>
      </c>
      <c r="F271" s="99">
        <v>0</v>
      </c>
      <c r="G271" s="36">
        <f t="shared" si="21"/>
        <v>82</v>
      </c>
      <c r="H271" s="99">
        <f t="shared" si="15"/>
        <v>1</v>
      </c>
      <c r="I271" s="99">
        <f t="shared" si="13"/>
        <v>356400000</v>
      </c>
      <c r="J271" s="99">
        <f t="shared" si="20"/>
        <v>0</v>
      </c>
      <c r="K271" s="99">
        <f t="shared" si="17"/>
        <v>356400000</v>
      </c>
    </row>
    <row r="272" spans="1:13">
      <c r="A272" s="99" t="s">
        <v>4563</v>
      </c>
      <c r="B272" s="18">
        <v>-95000</v>
      </c>
      <c r="C272" s="18">
        <v>0</v>
      </c>
      <c r="D272" s="18">
        <f t="shared" si="18"/>
        <v>-95000</v>
      </c>
      <c r="E272" s="99" t="s">
        <v>1134</v>
      </c>
      <c r="F272" s="99">
        <v>1</v>
      </c>
      <c r="G272" s="36">
        <f t="shared" si="21"/>
        <v>82</v>
      </c>
      <c r="H272" s="99">
        <f t="shared" si="15"/>
        <v>0</v>
      </c>
      <c r="I272" s="99">
        <f t="shared" si="13"/>
        <v>-7790000</v>
      </c>
      <c r="J272" s="99">
        <f t="shared" si="20"/>
        <v>0</v>
      </c>
      <c r="K272" s="99">
        <f t="shared" si="17"/>
        <v>-7790000</v>
      </c>
    </row>
    <row r="273" spans="1:12">
      <c r="A273" s="99" t="s">
        <v>4568</v>
      </c>
      <c r="B273" s="18">
        <v>-900000</v>
      </c>
      <c r="C273" s="18">
        <v>0</v>
      </c>
      <c r="D273" s="18">
        <f t="shared" si="18"/>
        <v>-900000</v>
      </c>
      <c r="E273" s="99" t="s">
        <v>4574</v>
      </c>
      <c r="F273" s="99">
        <v>1</v>
      </c>
      <c r="G273" s="36">
        <f t="shared" si="21"/>
        <v>81</v>
      </c>
      <c r="H273" s="99">
        <f t="shared" si="15"/>
        <v>0</v>
      </c>
      <c r="I273" s="99">
        <f t="shared" si="13"/>
        <v>-72900000</v>
      </c>
      <c r="J273" s="99">
        <f t="shared" si="20"/>
        <v>0</v>
      </c>
      <c r="K273" s="99">
        <f t="shared" si="17"/>
        <v>-72900000</v>
      </c>
    </row>
    <row r="274" spans="1:12">
      <c r="A274" s="99" t="s">
        <v>4571</v>
      </c>
      <c r="B274" s="18">
        <v>2500000</v>
      </c>
      <c r="C274" s="18">
        <v>0</v>
      </c>
      <c r="D274" s="18">
        <f t="shared" si="18"/>
        <v>2500000</v>
      </c>
      <c r="E274" s="99" t="s">
        <v>3891</v>
      </c>
      <c r="F274" s="99">
        <v>0</v>
      </c>
      <c r="G274" s="36">
        <f t="shared" si="21"/>
        <v>80</v>
      </c>
      <c r="H274" s="99">
        <f t="shared" si="15"/>
        <v>1</v>
      </c>
      <c r="I274" s="99">
        <f t="shared" si="13"/>
        <v>197500000</v>
      </c>
      <c r="J274" s="99">
        <f t="shared" si="20"/>
        <v>0</v>
      </c>
      <c r="K274" s="99">
        <f t="shared" si="17"/>
        <v>197500000</v>
      </c>
    </row>
    <row r="275" spans="1:12">
      <c r="A275" s="99" t="s">
        <v>4571</v>
      </c>
      <c r="B275" s="18">
        <v>-1287000</v>
      </c>
      <c r="C275" s="18">
        <v>0</v>
      </c>
      <c r="D275" s="18">
        <f t="shared" si="18"/>
        <v>-1287000</v>
      </c>
      <c r="E275" s="99" t="s">
        <v>4572</v>
      </c>
      <c r="F275" s="99">
        <v>2</v>
      </c>
      <c r="G275" s="36">
        <f t="shared" si="21"/>
        <v>80</v>
      </c>
      <c r="H275" s="99">
        <f t="shared" si="15"/>
        <v>0</v>
      </c>
      <c r="I275" s="99">
        <f t="shared" si="13"/>
        <v>-102960000</v>
      </c>
      <c r="J275" s="99">
        <f t="shared" si="20"/>
        <v>0</v>
      </c>
      <c r="K275" s="99">
        <f t="shared" si="17"/>
        <v>-102960000</v>
      </c>
    </row>
    <row r="276" spans="1:12">
      <c r="A276" s="99" t="s">
        <v>4569</v>
      </c>
      <c r="B276" s="18">
        <v>3800000</v>
      </c>
      <c r="C276" s="18">
        <v>0</v>
      </c>
      <c r="D276" s="18">
        <f t="shared" si="18"/>
        <v>3800000</v>
      </c>
      <c r="E276" s="99" t="s">
        <v>3891</v>
      </c>
      <c r="F276" s="99">
        <v>1</v>
      </c>
      <c r="G276" s="36">
        <f t="shared" si="21"/>
        <v>78</v>
      </c>
      <c r="H276" s="99">
        <f t="shared" si="15"/>
        <v>1</v>
      </c>
      <c r="I276" s="99">
        <f t="shared" si="13"/>
        <v>292600000</v>
      </c>
      <c r="J276" s="99">
        <f t="shared" si="20"/>
        <v>0</v>
      </c>
      <c r="K276" s="99">
        <f t="shared" si="17"/>
        <v>292600000</v>
      </c>
    </row>
    <row r="277" spans="1:12">
      <c r="A277" s="99" t="s">
        <v>4581</v>
      </c>
      <c r="B277" s="18">
        <v>21000000</v>
      </c>
      <c r="C277" s="18">
        <v>0</v>
      </c>
      <c r="D277" s="18">
        <f t="shared" si="18"/>
        <v>21000000</v>
      </c>
      <c r="E277" s="99" t="s">
        <v>3891</v>
      </c>
      <c r="F277" s="99">
        <v>1</v>
      </c>
      <c r="G277" s="36">
        <f t="shared" si="21"/>
        <v>77</v>
      </c>
      <c r="H277" s="99">
        <f t="shared" si="15"/>
        <v>1</v>
      </c>
      <c r="I277" s="99">
        <f t="shared" si="13"/>
        <v>1596000000</v>
      </c>
      <c r="J277" s="99">
        <f t="shared" si="20"/>
        <v>0</v>
      </c>
      <c r="K277" s="99">
        <f t="shared" si="17"/>
        <v>1596000000</v>
      </c>
    </row>
    <row r="278" spans="1:12">
      <c r="A278" s="99" t="s">
        <v>994</v>
      </c>
      <c r="B278" s="18">
        <v>3000000</v>
      </c>
      <c r="C278" s="18">
        <v>0</v>
      </c>
      <c r="D278" s="18">
        <f t="shared" si="18"/>
        <v>3000000</v>
      </c>
      <c r="E278" s="99" t="s">
        <v>3891</v>
      </c>
      <c r="F278" s="99">
        <v>0</v>
      </c>
      <c r="G278" s="36">
        <f t="shared" si="21"/>
        <v>76</v>
      </c>
      <c r="H278" s="99">
        <f t="shared" si="15"/>
        <v>1</v>
      </c>
      <c r="I278" s="99">
        <f t="shared" si="13"/>
        <v>225000000</v>
      </c>
      <c r="J278" s="99">
        <f t="shared" si="20"/>
        <v>0</v>
      </c>
      <c r="K278" s="99">
        <f t="shared" si="17"/>
        <v>225000000</v>
      </c>
    </row>
    <row r="279" spans="1:12">
      <c r="A279" s="99" t="s">
        <v>994</v>
      </c>
      <c r="B279" s="18">
        <v>2000000</v>
      </c>
      <c r="C279" s="18">
        <v>0</v>
      </c>
      <c r="D279" s="18">
        <f t="shared" si="18"/>
        <v>2000000</v>
      </c>
      <c r="E279" s="99" t="s">
        <v>3891</v>
      </c>
      <c r="F279" s="99">
        <v>1</v>
      </c>
      <c r="G279" s="36">
        <f t="shared" si="21"/>
        <v>76</v>
      </c>
      <c r="H279" s="99">
        <f t="shared" si="15"/>
        <v>1</v>
      </c>
      <c r="I279" s="99">
        <f t="shared" si="13"/>
        <v>150000000</v>
      </c>
      <c r="J279" s="99">
        <f t="shared" si="20"/>
        <v>0</v>
      </c>
      <c r="K279" s="99">
        <f t="shared" si="17"/>
        <v>150000000</v>
      </c>
    </row>
    <row r="280" spans="1:12">
      <c r="A280" s="99" t="s">
        <v>4585</v>
      </c>
      <c r="B280" s="18">
        <v>-2000000</v>
      </c>
      <c r="C280" s="18">
        <v>0</v>
      </c>
      <c r="D280" s="18">
        <f t="shared" si="18"/>
        <v>-2000000</v>
      </c>
      <c r="E280" s="99" t="s">
        <v>3770</v>
      </c>
      <c r="F280" s="99">
        <v>1</v>
      </c>
      <c r="G280" s="36">
        <f t="shared" si="21"/>
        <v>75</v>
      </c>
      <c r="H280" s="99">
        <f t="shared" si="15"/>
        <v>0</v>
      </c>
      <c r="I280" s="99">
        <f t="shared" si="13"/>
        <v>-150000000</v>
      </c>
      <c r="J280" s="99">
        <f t="shared" si="20"/>
        <v>0</v>
      </c>
      <c r="K280" s="99">
        <f t="shared" si="17"/>
        <v>-150000000</v>
      </c>
    </row>
    <row r="281" spans="1:12">
      <c r="A281" s="99" t="s">
        <v>4586</v>
      </c>
      <c r="B281" s="18">
        <v>-10000000</v>
      </c>
      <c r="C281" s="18">
        <v>0</v>
      </c>
      <c r="D281" s="18">
        <f t="shared" si="18"/>
        <v>-10000000</v>
      </c>
      <c r="E281" s="99" t="s">
        <v>3770</v>
      </c>
      <c r="F281" s="99">
        <v>4</v>
      </c>
      <c r="G281" s="36">
        <f t="shared" si="21"/>
        <v>74</v>
      </c>
      <c r="H281" s="99">
        <f t="shared" si="15"/>
        <v>0</v>
      </c>
      <c r="I281" s="99">
        <f t="shared" si="13"/>
        <v>-740000000</v>
      </c>
      <c r="J281" s="99">
        <f t="shared" si="20"/>
        <v>0</v>
      </c>
      <c r="K281" s="99">
        <f t="shared" si="17"/>
        <v>-740000000</v>
      </c>
    </row>
    <row r="282" spans="1:12">
      <c r="A282" s="99" t="s">
        <v>4588</v>
      </c>
      <c r="B282" s="18">
        <v>-16700000</v>
      </c>
      <c r="C282" s="18">
        <v>0</v>
      </c>
      <c r="D282" s="18">
        <f t="shared" si="18"/>
        <v>-16700000</v>
      </c>
      <c r="E282" s="99" t="s">
        <v>3770</v>
      </c>
      <c r="F282" s="99">
        <v>2</v>
      </c>
      <c r="G282" s="36">
        <f t="shared" si="21"/>
        <v>70</v>
      </c>
      <c r="H282" s="99">
        <f t="shared" si="15"/>
        <v>0</v>
      </c>
      <c r="I282" s="99">
        <f t="shared" si="13"/>
        <v>-1169000000</v>
      </c>
      <c r="J282" s="99">
        <f t="shared" ref="J282:J296" si="22">C282*(G282-H282)</f>
        <v>0</v>
      </c>
      <c r="K282" s="99">
        <f t="shared" ref="K282:K296" si="23">D282*(G282-H282)</f>
        <v>-1169000000</v>
      </c>
    </row>
    <row r="283" spans="1:12">
      <c r="A283" s="99" t="s">
        <v>974</v>
      </c>
      <c r="B283" s="18">
        <v>12000000</v>
      </c>
      <c r="C283" s="18">
        <v>0</v>
      </c>
      <c r="D283" s="18">
        <f t="shared" si="18"/>
        <v>12000000</v>
      </c>
      <c r="E283" s="99" t="s">
        <v>3891</v>
      </c>
      <c r="F283" s="99">
        <v>1</v>
      </c>
      <c r="G283" s="36">
        <f t="shared" si="21"/>
        <v>68</v>
      </c>
      <c r="H283" s="99">
        <f t="shared" si="15"/>
        <v>1</v>
      </c>
      <c r="I283" s="99">
        <f t="shared" si="13"/>
        <v>804000000</v>
      </c>
      <c r="J283" s="99">
        <f t="shared" si="22"/>
        <v>0</v>
      </c>
      <c r="K283" s="99">
        <f t="shared" si="23"/>
        <v>804000000</v>
      </c>
    </row>
    <row r="284" spans="1:12">
      <c r="A284" s="99" t="s">
        <v>4602</v>
      </c>
      <c r="B284" s="18">
        <v>1900000</v>
      </c>
      <c r="C284" s="18">
        <v>0</v>
      </c>
      <c r="D284" s="18">
        <f t="shared" si="18"/>
        <v>1900000</v>
      </c>
      <c r="E284" s="99" t="s">
        <v>3891</v>
      </c>
      <c r="F284" s="99">
        <v>0</v>
      </c>
      <c r="G284" s="36">
        <f t="shared" si="21"/>
        <v>67</v>
      </c>
      <c r="H284" s="99">
        <f t="shared" si="15"/>
        <v>1</v>
      </c>
      <c r="I284" s="99">
        <f t="shared" si="13"/>
        <v>125400000</v>
      </c>
      <c r="J284" s="99">
        <f t="shared" si="22"/>
        <v>0</v>
      </c>
      <c r="K284" s="99">
        <f t="shared" si="23"/>
        <v>125400000</v>
      </c>
    </row>
    <row r="285" spans="1:12">
      <c r="A285" s="99" t="s">
        <v>4602</v>
      </c>
      <c r="B285" s="18">
        <v>-3995000</v>
      </c>
      <c r="C285" s="18">
        <v>0</v>
      </c>
      <c r="D285" s="18">
        <f t="shared" si="18"/>
        <v>-3995000</v>
      </c>
      <c r="E285" s="99" t="s">
        <v>4604</v>
      </c>
      <c r="F285" s="99">
        <v>3</v>
      </c>
      <c r="G285" s="36">
        <f t="shared" si="21"/>
        <v>67</v>
      </c>
      <c r="H285" s="99">
        <f t="shared" si="15"/>
        <v>0</v>
      </c>
      <c r="I285" s="99">
        <f t="shared" si="13"/>
        <v>-267665000</v>
      </c>
      <c r="J285" s="99">
        <f t="shared" si="22"/>
        <v>0</v>
      </c>
      <c r="K285" s="99">
        <f t="shared" si="23"/>
        <v>-267665000</v>
      </c>
    </row>
    <row r="286" spans="1:12">
      <c r="A286" s="99" t="s">
        <v>4612</v>
      </c>
      <c r="B286" s="18">
        <v>-2010700</v>
      </c>
      <c r="C286" s="18">
        <v>0</v>
      </c>
      <c r="D286" s="18">
        <f t="shared" si="18"/>
        <v>-2010700</v>
      </c>
      <c r="E286" s="99" t="s">
        <v>4617</v>
      </c>
      <c r="F286" s="99">
        <v>0</v>
      </c>
      <c r="G286" s="36">
        <f t="shared" si="21"/>
        <v>64</v>
      </c>
      <c r="H286" s="99">
        <f t="shared" si="15"/>
        <v>0</v>
      </c>
      <c r="I286" s="99">
        <f t="shared" si="13"/>
        <v>-128684800</v>
      </c>
      <c r="J286" s="99">
        <f t="shared" si="22"/>
        <v>0</v>
      </c>
      <c r="K286" s="99">
        <f t="shared" si="23"/>
        <v>-128684800</v>
      </c>
    </row>
    <row r="287" spans="1:12">
      <c r="A287" s="99" t="s">
        <v>4612</v>
      </c>
      <c r="B287" s="18">
        <v>-4000000</v>
      </c>
      <c r="C287" s="18">
        <v>0</v>
      </c>
      <c r="D287" s="18">
        <f t="shared" si="18"/>
        <v>-4000000</v>
      </c>
      <c r="E287" s="99" t="s">
        <v>3770</v>
      </c>
      <c r="F287" s="99">
        <v>1</v>
      </c>
      <c r="G287" s="36">
        <f t="shared" si="21"/>
        <v>64</v>
      </c>
      <c r="H287" s="99">
        <f t="shared" si="15"/>
        <v>0</v>
      </c>
      <c r="I287" s="99">
        <f t="shared" si="13"/>
        <v>-256000000</v>
      </c>
      <c r="J287" s="99">
        <f t="shared" si="22"/>
        <v>0</v>
      </c>
      <c r="K287" s="99">
        <f t="shared" si="23"/>
        <v>-256000000</v>
      </c>
    </row>
    <row r="288" spans="1:12">
      <c r="A288" s="99" t="s">
        <v>4618</v>
      </c>
      <c r="B288" s="18">
        <v>-5700000</v>
      </c>
      <c r="C288" s="18">
        <v>0</v>
      </c>
      <c r="D288" s="18">
        <f t="shared" si="18"/>
        <v>-5700000</v>
      </c>
      <c r="E288" s="99" t="s">
        <v>3770</v>
      </c>
      <c r="F288" s="99">
        <v>2</v>
      </c>
      <c r="G288" s="36">
        <f t="shared" si="21"/>
        <v>63</v>
      </c>
      <c r="H288" s="99">
        <f t="shared" si="15"/>
        <v>0</v>
      </c>
      <c r="I288" s="99">
        <f t="shared" si="13"/>
        <v>-359100000</v>
      </c>
      <c r="J288" s="99">
        <f t="shared" si="22"/>
        <v>0</v>
      </c>
      <c r="K288" s="99">
        <f t="shared" si="23"/>
        <v>-359100000</v>
      </c>
      <c r="L288" t="s">
        <v>25</v>
      </c>
    </row>
    <row r="289" spans="1:13">
      <c r="A289" s="99" t="s">
        <v>4628</v>
      </c>
      <c r="B289" s="18">
        <v>8000000</v>
      </c>
      <c r="C289" s="18">
        <v>0</v>
      </c>
      <c r="D289" s="18">
        <f t="shared" si="18"/>
        <v>8000000</v>
      </c>
      <c r="E289" s="99" t="s">
        <v>3891</v>
      </c>
      <c r="F289" s="99">
        <v>1</v>
      </c>
      <c r="G289" s="36">
        <f t="shared" si="21"/>
        <v>61</v>
      </c>
      <c r="H289" s="99">
        <f t="shared" si="15"/>
        <v>1</v>
      </c>
      <c r="I289" s="99">
        <f t="shared" si="13"/>
        <v>480000000</v>
      </c>
      <c r="J289" s="99">
        <f t="shared" si="22"/>
        <v>0</v>
      </c>
      <c r="K289" s="99">
        <f t="shared" si="23"/>
        <v>480000000</v>
      </c>
    </row>
    <row r="290" spans="1:13">
      <c r="A290" s="99" t="s">
        <v>3691</v>
      </c>
      <c r="B290" s="18">
        <v>-8000000</v>
      </c>
      <c r="C290" s="18">
        <v>0</v>
      </c>
      <c r="D290" s="18">
        <f t="shared" si="18"/>
        <v>-8000000</v>
      </c>
      <c r="E290" s="99" t="s">
        <v>3770</v>
      </c>
      <c r="F290" s="99">
        <v>3</v>
      </c>
      <c r="G290" s="36">
        <f t="shared" si="21"/>
        <v>60</v>
      </c>
      <c r="H290" s="99">
        <f t="shared" si="15"/>
        <v>0</v>
      </c>
      <c r="I290" s="99">
        <f t="shared" si="13"/>
        <v>-480000000</v>
      </c>
      <c r="J290" s="99">
        <f t="shared" si="22"/>
        <v>0</v>
      </c>
      <c r="K290" s="99">
        <f t="shared" si="23"/>
        <v>-480000000</v>
      </c>
    </row>
    <row r="291" spans="1:13">
      <c r="A291" s="99" t="s">
        <v>4633</v>
      </c>
      <c r="B291" s="18">
        <v>-6000000</v>
      </c>
      <c r="C291" s="18">
        <v>0</v>
      </c>
      <c r="D291" s="18">
        <f t="shared" si="18"/>
        <v>-6000000</v>
      </c>
      <c r="E291" s="99" t="s">
        <v>3770</v>
      </c>
      <c r="F291" s="99">
        <v>0</v>
      </c>
      <c r="G291" s="36">
        <f t="shared" si="21"/>
        <v>57</v>
      </c>
      <c r="H291" s="99">
        <f t="shared" si="15"/>
        <v>0</v>
      </c>
      <c r="I291" s="99">
        <f t="shared" si="13"/>
        <v>-342000000</v>
      </c>
      <c r="J291" s="99">
        <f t="shared" si="22"/>
        <v>0</v>
      </c>
      <c r="K291" s="99">
        <f t="shared" si="23"/>
        <v>-342000000</v>
      </c>
    </row>
    <row r="292" spans="1:13">
      <c r="A292" s="99" t="s">
        <v>4633</v>
      </c>
      <c r="B292" s="18">
        <v>-77315</v>
      </c>
      <c r="C292" s="18">
        <v>0</v>
      </c>
      <c r="D292" s="18">
        <f t="shared" si="18"/>
        <v>-77315</v>
      </c>
      <c r="E292" s="99" t="s">
        <v>61</v>
      </c>
      <c r="F292" s="99">
        <v>1</v>
      </c>
      <c r="G292" s="36">
        <f t="shared" si="21"/>
        <v>57</v>
      </c>
      <c r="H292" s="99">
        <f t="shared" si="15"/>
        <v>0</v>
      </c>
      <c r="I292" s="99">
        <f t="shared" si="13"/>
        <v>-4406955</v>
      </c>
      <c r="J292" s="99">
        <f t="shared" si="22"/>
        <v>0</v>
      </c>
      <c r="K292" s="99">
        <f t="shared" si="23"/>
        <v>-4406955</v>
      </c>
    </row>
    <row r="293" spans="1:13">
      <c r="A293" s="99" t="s">
        <v>4638</v>
      </c>
      <c r="B293" s="18">
        <v>-96850</v>
      </c>
      <c r="C293" s="18">
        <v>0</v>
      </c>
      <c r="D293" s="18">
        <f t="shared" si="18"/>
        <v>-96850</v>
      </c>
      <c r="E293" s="99" t="s">
        <v>4644</v>
      </c>
      <c r="F293" s="99">
        <v>2</v>
      </c>
      <c r="G293" s="36">
        <f t="shared" si="21"/>
        <v>56</v>
      </c>
      <c r="H293" s="99">
        <f t="shared" si="15"/>
        <v>0</v>
      </c>
      <c r="I293" s="99">
        <f t="shared" si="13"/>
        <v>-5423600</v>
      </c>
      <c r="J293" s="99">
        <f t="shared" si="22"/>
        <v>0</v>
      </c>
      <c r="K293" s="99">
        <f t="shared" si="23"/>
        <v>-5423600</v>
      </c>
    </row>
    <row r="294" spans="1:13">
      <c r="A294" s="99" t="s">
        <v>4648</v>
      </c>
      <c r="B294" s="18">
        <v>-45000</v>
      </c>
      <c r="C294" s="18">
        <v>0</v>
      </c>
      <c r="D294" s="18">
        <f t="shared" si="18"/>
        <v>-45000</v>
      </c>
      <c r="E294" s="99" t="s">
        <v>3770</v>
      </c>
      <c r="F294" s="99">
        <v>0</v>
      </c>
      <c r="G294" s="36">
        <f t="shared" si="21"/>
        <v>54</v>
      </c>
      <c r="H294" s="99">
        <f t="shared" si="15"/>
        <v>0</v>
      </c>
      <c r="I294" s="99">
        <f t="shared" si="13"/>
        <v>-2430000</v>
      </c>
      <c r="J294" s="99">
        <f t="shared" si="22"/>
        <v>0</v>
      </c>
      <c r="K294" s="99">
        <f t="shared" si="23"/>
        <v>-2430000</v>
      </c>
    </row>
    <row r="295" spans="1:13">
      <c r="A295" s="99" t="s">
        <v>4648</v>
      </c>
      <c r="B295" s="18">
        <v>-47848</v>
      </c>
      <c r="C295" s="18">
        <v>0</v>
      </c>
      <c r="D295" s="18">
        <f t="shared" si="18"/>
        <v>-47848</v>
      </c>
      <c r="E295" s="99" t="s">
        <v>61</v>
      </c>
      <c r="F295" s="99">
        <v>1</v>
      </c>
      <c r="G295" s="36">
        <f t="shared" si="21"/>
        <v>54</v>
      </c>
      <c r="H295" s="99">
        <f t="shared" si="15"/>
        <v>0</v>
      </c>
      <c r="I295" s="99">
        <f t="shared" si="13"/>
        <v>-2583792</v>
      </c>
      <c r="J295" s="99">
        <f t="shared" si="22"/>
        <v>0</v>
      </c>
      <c r="K295" s="99">
        <f t="shared" si="23"/>
        <v>-2583792</v>
      </c>
      <c r="M295" t="s">
        <v>25</v>
      </c>
    </row>
    <row r="296" spans="1:13">
      <c r="A296" s="99" t="s">
        <v>4664</v>
      </c>
      <c r="B296" s="18">
        <v>-200000</v>
      </c>
      <c r="C296" s="18">
        <v>0</v>
      </c>
      <c r="D296" s="18">
        <f t="shared" si="18"/>
        <v>-200000</v>
      </c>
      <c r="E296" s="99" t="s">
        <v>4665</v>
      </c>
      <c r="F296" s="99">
        <v>3</v>
      </c>
      <c r="G296" s="36">
        <f t="shared" si="21"/>
        <v>53</v>
      </c>
      <c r="H296" s="99">
        <f t="shared" si="15"/>
        <v>0</v>
      </c>
      <c r="I296" s="99">
        <f t="shared" si="13"/>
        <v>-10600000</v>
      </c>
      <c r="J296" s="99">
        <f t="shared" si="22"/>
        <v>0</v>
      </c>
      <c r="K296" s="99">
        <f t="shared" si="23"/>
        <v>-10600000</v>
      </c>
    </row>
    <row r="297" spans="1:13">
      <c r="A297" s="99" t="s">
        <v>4675</v>
      </c>
      <c r="B297" s="18">
        <v>-60460</v>
      </c>
      <c r="C297" s="18">
        <v>0</v>
      </c>
      <c r="D297" s="18">
        <f t="shared" si="18"/>
        <v>-60460</v>
      </c>
      <c r="E297" s="99" t="s">
        <v>61</v>
      </c>
      <c r="F297" s="99">
        <v>1</v>
      </c>
      <c r="G297" s="36">
        <f t="shared" si="21"/>
        <v>50</v>
      </c>
      <c r="H297" s="99">
        <f t="shared" si="15"/>
        <v>0</v>
      </c>
      <c r="I297" s="99">
        <f t="shared" ref="I297:I308" si="24">B297*(G297-H297)</f>
        <v>-3023000</v>
      </c>
      <c r="J297" s="99">
        <f t="shared" ref="J297:J308" si="25">C297*(G297-H297)</f>
        <v>0</v>
      </c>
      <c r="K297" s="99">
        <f t="shared" ref="K297:K308" si="26">D297*(G297-H297)</f>
        <v>-3023000</v>
      </c>
    </row>
    <row r="298" spans="1:13">
      <c r="A298" s="99" t="s">
        <v>4681</v>
      </c>
      <c r="B298" s="18">
        <v>-60000</v>
      </c>
      <c r="C298" s="18">
        <v>0</v>
      </c>
      <c r="D298" s="18">
        <f t="shared" si="18"/>
        <v>-60000</v>
      </c>
      <c r="E298" s="99" t="s">
        <v>3770</v>
      </c>
      <c r="F298" s="99">
        <v>0</v>
      </c>
      <c r="G298" s="36">
        <f t="shared" ref="G298:G307" si="27">G299+F298</f>
        <v>49</v>
      </c>
      <c r="H298" s="99">
        <f t="shared" si="15"/>
        <v>0</v>
      </c>
      <c r="I298" s="99">
        <f t="shared" si="24"/>
        <v>-2940000</v>
      </c>
      <c r="J298" s="99">
        <f t="shared" si="25"/>
        <v>0</v>
      </c>
      <c r="K298" s="99">
        <f t="shared" si="26"/>
        <v>-2940000</v>
      </c>
    </row>
    <row r="299" spans="1:13">
      <c r="A299" s="99" t="s">
        <v>4681</v>
      </c>
      <c r="B299" s="18">
        <v>2400000</v>
      </c>
      <c r="C299" s="18">
        <v>0</v>
      </c>
      <c r="D299" s="18">
        <f t="shared" si="18"/>
        <v>2400000</v>
      </c>
      <c r="E299" s="99" t="s">
        <v>3891</v>
      </c>
      <c r="F299" s="99">
        <v>0</v>
      </c>
      <c r="G299" s="36">
        <f t="shared" si="27"/>
        <v>49</v>
      </c>
      <c r="H299" s="99">
        <f t="shared" si="15"/>
        <v>1</v>
      </c>
      <c r="I299" s="99">
        <f t="shared" si="24"/>
        <v>115200000</v>
      </c>
      <c r="J299" s="99">
        <f t="shared" si="25"/>
        <v>0</v>
      </c>
      <c r="K299" s="99">
        <f t="shared" si="26"/>
        <v>115200000</v>
      </c>
    </row>
    <row r="300" spans="1:13">
      <c r="A300" s="99" t="s">
        <v>4681</v>
      </c>
      <c r="B300" s="18">
        <v>-137163</v>
      </c>
      <c r="C300" s="18">
        <v>0</v>
      </c>
      <c r="D300" s="18">
        <f t="shared" si="18"/>
        <v>-137163</v>
      </c>
      <c r="E300" s="99" t="s">
        <v>4014</v>
      </c>
      <c r="F300" s="99">
        <v>0</v>
      </c>
      <c r="G300" s="36">
        <f t="shared" si="27"/>
        <v>49</v>
      </c>
      <c r="H300" s="99">
        <f t="shared" si="15"/>
        <v>0</v>
      </c>
      <c r="I300" s="99">
        <f t="shared" si="24"/>
        <v>-6720987</v>
      </c>
      <c r="J300" s="99">
        <f t="shared" si="25"/>
        <v>0</v>
      </c>
      <c r="K300" s="99">
        <f t="shared" si="26"/>
        <v>-6720987</v>
      </c>
      <c r="L300" t="s">
        <v>25</v>
      </c>
      <c r="M300" t="s">
        <v>25</v>
      </c>
    </row>
    <row r="301" spans="1:13">
      <c r="A301" s="99" t="s">
        <v>4681</v>
      </c>
      <c r="B301" s="18">
        <v>-51400</v>
      </c>
      <c r="C301" s="18">
        <v>0</v>
      </c>
      <c r="D301" s="18">
        <f t="shared" si="18"/>
        <v>-51400</v>
      </c>
      <c r="E301" s="99" t="s">
        <v>4688</v>
      </c>
      <c r="F301" s="99">
        <v>1</v>
      </c>
      <c r="G301" s="36">
        <f t="shared" si="27"/>
        <v>49</v>
      </c>
      <c r="H301" s="99">
        <f t="shared" si="15"/>
        <v>0</v>
      </c>
      <c r="I301" s="99">
        <f t="shared" si="24"/>
        <v>-2518600</v>
      </c>
      <c r="J301" s="99">
        <f t="shared" si="25"/>
        <v>0</v>
      </c>
      <c r="K301" s="99">
        <f t="shared" si="26"/>
        <v>-2518600</v>
      </c>
    </row>
    <row r="302" spans="1:13">
      <c r="A302" s="99" t="s">
        <v>4691</v>
      </c>
      <c r="B302" s="18">
        <v>-2250000</v>
      </c>
      <c r="C302" s="18">
        <v>0</v>
      </c>
      <c r="D302" s="18">
        <f t="shared" si="18"/>
        <v>-2250000</v>
      </c>
      <c r="E302" s="99" t="s">
        <v>3770</v>
      </c>
      <c r="F302" s="99">
        <v>0</v>
      </c>
      <c r="G302" s="36">
        <f t="shared" si="27"/>
        <v>48</v>
      </c>
      <c r="H302" s="99">
        <f t="shared" si="15"/>
        <v>0</v>
      </c>
      <c r="I302" s="99">
        <f t="shared" si="24"/>
        <v>-108000000</v>
      </c>
      <c r="J302" s="99">
        <f t="shared" si="25"/>
        <v>0</v>
      </c>
      <c r="K302" s="99">
        <f t="shared" si="26"/>
        <v>-108000000</v>
      </c>
      <c r="M302" t="s">
        <v>25</v>
      </c>
    </row>
    <row r="303" spans="1:13">
      <c r="A303" s="99" t="s">
        <v>4691</v>
      </c>
      <c r="B303" s="18">
        <v>700000</v>
      </c>
      <c r="C303" s="18">
        <v>0</v>
      </c>
      <c r="D303" s="18">
        <f t="shared" si="18"/>
        <v>700000</v>
      </c>
      <c r="E303" s="99" t="s">
        <v>3891</v>
      </c>
      <c r="F303" s="99">
        <v>2</v>
      </c>
      <c r="G303" s="36">
        <f t="shared" si="27"/>
        <v>48</v>
      </c>
      <c r="H303" s="99">
        <f t="shared" si="15"/>
        <v>1</v>
      </c>
      <c r="I303" s="99">
        <f t="shared" si="24"/>
        <v>32900000</v>
      </c>
      <c r="J303" s="99">
        <f t="shared" si="25"/>
        <v>0</v>
      </c>
      <c r="K303" s="99">
        <f t="shared" si="26"/>
        <v>32900000</v>
      </c>
    </row>
    <row r="304" spans="1:13">
      <c r="A304" s="99" t="s">
        <v>4718</v>
      </c>
      <c r="B304" s="18">
        <v>570000</v>
      </c>
      <c r="C304" s="18">
        <v>0</v>
      </c>
      <c r="D304" s="18">
        <f t="shared" si="18"/>
        <v>570000</v>
      </c>
      <c r="E304" s="99" t="s">
        <v>3891</v>
      </c>
      <c r="F304" s="99">
        <v>0</v>
      </c>
      <c r="G304" s="36">
        <f t="shared" si="27"/>
        <v>46</v>
      </c>
      <c r="H304" s="99">
        <f t="shared" si="15"/>
        <v>1</v>
      </c>
      <c r="I304" s="99">
        <f t="shared" si="24"/>
        <v>25650000</v>
      </c>
      <c r="J304" s="99">
        <f t="shared" si="25"/>
        <v>0</v>
      </c>
      <c r="K304" s="99">
        <f t="shared" si="26"/>
        <v>25650000</v>
      </c>
    </row>
    <row r="305" spans="1:13">
      <c r="A305" s="99" t="s">
        <v>4718</v>
      </c>
      <c r="B305" s="18">
        <v>-276773</v>
      </c>
      <c r="C305" s="18">
        <v>0</v>
      </c>
      <c r="D305" s="18">
        <f t="shared" si="18"/>
        <v>-276773</v>
      </c>
      <c r="E305" s="99" t="s">
        <v>4722</v>
      </c>
      <c r="F305" s="99">
        <v>2</v>
      </c>
      <c r="G305" s="36">
        <f t="shared" si="27"/>
        <v>46</v>
      </c>
      <c r="H305" s="99">
        <f t="shared" si="15"/>
        <v>0</v>
      </c>
      <c r="I305" s="99">
        <f t="shared" si="24"/>
        <v>-12731558</v>
      </c>
      <c r="J305" s="99">
        <f t="shared" si="25"/>
        <v>0</v>
      </c>
      <c r="K305" s="99">
        <f t="shared" si="26"/>
        <v>-12731558</v>
      </c>
    </row>
    <row r="306" spans="1:13">
      <c r="A306" s="99" t="s">
        <v>4723</v>
      </c>
      <c r="B306" s="18">
        <v>-114710</v>
      </c>
      <c r="C306" s="18">
        <v>0</v>
      </c>
      <c r="D306" s="18">
        <f t="shared" si="18"/>
        <v>-114710</v>
      </c>
      <c r="E306" s="99" t="s">
        <v>61</v>
      </c>
      <c r="F306" s="99">
        <v>4</v>
      </c>
      <c r="G306" s="36">
        <f t="shared" si="27"/>
        <v>44</v>
      </c>
      <c r="H306" s="99">
        <f t="shared" si="15"/>
        <v>0</v>
      </c>
      <c r="I306" s="99">
        <f t="shared" si="24"/>
        <v>-5047240</v>
      </c>
      <c r="J306" s="99">
        <f t="shared" si="25"/>
        <v>0</v>
      </c>
      <c r="K306" s="99">
        <f t="shared" si="26"/>
        <v>-5047240</v>
      </c>
      <c r="M306" t="s">
        <v>25</v>
      </c>
    </row>
    <row r="307" spans="1:13">
      <c r="A307" s="99" t="s">
        <v>4739</v>
      </c>
      <c r="B307" s="18">
        <v>-1000</v>
      </c>
      <c r="C307" s="18">
        <v>0</v>
      </c>
      <c r="D307" s="18">
        <f t="shared" si="18"/>
        <v>-1000</v>
      </c>
      <c r="E307" s="99" t="s">
        <v>3770</v>
      </c>
      <c r="F307" s="99">
        <v>1</v>
      </c>
      <c r="G307" s="36">
        <f t="shared" si="27"/>
        <v>40</v>
      </c>
      <c r="H307" s="99">
        <f t="shared" si="15"/>
        <v>0</v>
      </c>
      <c r="I307" s="99">
        <f t="shared" si="24"/>
        <v>-40000</v>
      </c>
      <c r="J307" s="99">
        <f t="shared" si="25"/>
        <v>0</v>
      </c>
      <c r="K307" s="99">
        <f t="shared" si="26"/>
        <v>-40000</v>
      </c>
    </row>
    <row r="308" spans="1:13">
      <c r="A308" s="99" t="s">
        <v>4745</v>
      </c>
      <c r="B308" s="18">
        <v>250000</v>
      </c>
      <c r="C308" s="18">
        <v>0</v>
      </c>
      <c r="D308" s="18">
        <f t="shared" si="18"/>
        <v>250000</v>
      </c>
      <c r="E308" s="99" t="s">
        <v>3891</v>
      </c>
      <c r="F308" s="99">
        <v>0</v>
      </c>
      <c r="G308" s="36">
        <f>G309+F308</f>
        <v>39</v>
      </c>
      <c r="H308" s="99">
        <f t="shared" si="15"/>
        <v>1</v>
      </c>
      <c r="I308" s="99">
        <f t="shared" si="24"/>
        <v>9500000</v>
      </c>
      <c r="J308" s="99">
        <f t="shared" si="25"/>
        <v>0</v>
      </c>
      <c r="K308" s="99">
        <f t="shared" si="26"/>
        <v>9500000</v>
      </c>
    </row>
    <row r="309" spans="1:13">
      <c r="A309" s="99" t="s">
        <v>4745</v>
      </c>
      <c r="B309" s="18">
        <v>-55120</v>
      </c>
      <c r="C309" s="18">
        <v>0</v>
      </c>
      <c r="D309" s="18">
        <f t="shared" si="18"/>
        <v>-55120</v>
      </c>
      <c r="E309" s="99" t="s">
        <v>4014</v>
      </c>
      <c r="F309" s="99">
        <v>3</v>
      </c>
      <c r="G309" s="36">
        <f t="shared" ref="G309:G319" si="28">G310+F309</f>
        <v>39</v>
      </c>
      <c r="H309" s="99">
        <f t="shared" ref="H309:H370" si="29">IF(B309&gt;0,1,0)</f>
        <v>0</v>
      </c>
      <c r="I309" s="99">
        <f t="shared" ref="I309:I370" si="30">B309*(G309-H309)</f>
        <v>-2149680</v>
      </c>
      <c r="J309" s="99">
        <f t="shared" ref="J309:J370" si="31">C309*(G309-H309)</f>
        <v>0</v>
      </c>
      <c r="K309" s="99">
        <f t="shared" ref="K309:K370" si="32">D309*(G309-H309)</f>
        <v>-2149680</v>
      </c>
    </row>
    <row r="310" spans="1:13">
      <c r="A310" s="99" t="s">
        <v>4757</v>
      </c>
      <c r="B310" s="18">
        <v>-115000</v>
      </c>
      <c r="C310" s="18">
        <v>0</v>
      </c>
      <c r="D310" s="18">
        <f t="shared" si="18"/>
        <v>-115000</v>
      </c>
      <c r="E310" s="99" t="s">
        <v>821</v>
      </c>
      <c r="F310" s="99">
        <v>1</v>
      </c>
      <c r="G310" s="36">
        <f t="shared" si="28"/>
        <v>36</v>
      </c>
      <c r="H310" s="99">
        <f t="shared" si="29"/>
        <v>0</v>
      </c>
      <c r="I310" s="99">
        <f t="shared" si="30"/>
        <v>-4140000</v>
      </c>
      <c r="J310" s="99">
        <f t="shared" si="31"/>
        <v>0</v>
      </c>
      <c r="K310" s="99">
        <f t="shared" si="32"/>
        <v>-4140000</v>
      </c>
    </row>
    <row r="311" spans="1:13">
      <c r="A311" s="99" t="s">
        <v>4747</v>
      </c>
      <c r="B311" s="18">
        <v>-214549</v>
      </c>
      <c r="C311" s="18">
        <v>0</v>
      </c>
      <c r="D311" s="18">
        <f t="shared" si="18"/>
        <v>-214549</v>
      </c>
      <c r="E311" s="99" t="s">
        <v>3927</v>
      </c>
      <c r="F311" s="99">
        <v>2</v>
      </c>
      <c r="G311" s="36">
        <f t="shared" si="28"/>
        <v>35</v>
      </c>
      <c r="H311" s="99">
        <f t="shared" si="29"/>
        <v>0</v>
      </c>
      <c r="I311" s="99">
        <f t="shared" si="30"/>
        <v>-7509215</v>
      </c>
      <c r="J311" s="99">
        <f t="shared" si="31"/>
        <v>0</v>
      </c>
      <c r="K311" s="99">
        <f t="shared" si="32"/>
        <v>-7509215</v>
      </c>
      <c r="L311" t="s">
        <v>25</v>
      </c>
    </row>
    <row r="312" spans="1:13">
      <c r="A312" s="99" t="s">
        <v>4749</v>
      </c>
      <c r="B312" s="18">
        <v>-324747</v>
      </c>
      <c r="C312" s="18">
        <v>0</v>
      </c>
      <c r="D312" s="18">
        <f t="shared" si="18"/>
        <v>-324747</v>
      </c>
      <c r="E312" s="99" t="s">
        <v>4758</v>
      </c>
      <c r="F312" s="99">
        <v>3</v>
      </c>
      <c r="G312" s="36">
        <f t="shared" si="28"/>
        <v>33</v>
      </c>
      <c r="H312" s="99">
        <f t="shared" si="29"/>
        <v>0</v>
      </c>
      <c r="I312" s="99">
        <f t="shared" si="30"/>
        <v>-10716651</v>
      </c>
      <c r="J312" s="99">
        <f t="shared" si="31"/>
        <v>0</v>
      </c>
      <c r="K312" s="99">
        <f t="shared" si="32"/>
        <v>-10716651</v>
      </c>
      <c r="M312" t="s">
        <v>25</v>
      </c>
    </row>
    <row r="313" spans="1:13">
      <c r="A313" s="99" t="s">
        <v>4767</v>
      </c>
      <c r="B313" s="18">
        <v>-297992</v>
      </c>
      <c r="C313" s="18">
        <v>0</v>
      </c>
      <c r="D313" s="18">
        <f t="shared" si="18"/>
        <v>-297992</v>
      </c>
      <c r="E313" s="99" t="s">
        <v>4768</v>
      </c>
      <c r="F313" s="99">
        <v>2</v>
      </c>
      <c r="G313" s="36">
        <f t="shared" si="28"/>
        <v>30</v>
      </c>
      <c r="H313" s="99">
        <f t="shared" si="29"/>
        <v>0</v>
      </c>
      <c r="I313" s="99">
        <f t="shared" si="30"/>
        <v>-8939760</v>
      </c>
      <c r="J313" s="99">
        <f t="shared" si="31"/>
        <v>0</v>
      </c>
      <c r="K313" s="99">
        <f t="shared" si="32"/>
        <v>-8939760</v>
      </c>
    </row>
    <row r="314" spans="1:13">
      <c r="A314" s="99" t="s">
        <v>3684</v>
      </c>
      <c r="B314" s="18">
        <v>-130000</v>
      </c>
      <c r="C314" s="18">
        <v>0</v>
      </c>
      <c r="D314" s="18">
        <f t="shared" si="18"/>
        <v>-130000</v>
      </c>
      <c r="E314" s="99" t="s">
        <v>751</v>
      </c>
      <c r="F314" s="99">
        <v>1</v>
      </c>
      <c r="G314" s="36">
        <f t="shared" si="28"/>
        <v>28</v>
      </c>
      <c r="H314" s="99">
        <f t="shared" si="29"/>
        <v>0</v>
      </c>
      <c r="I314" s="99">
        <f t="shared" si="30"/>
        <v>-3640000</v>
      </c>
      <c r="J314" s="99">
        <f t="shared" si="31"/>
        <v>0</v>
      </c>
      <c r="K314" s="99">
        <f t="shared" si="32"/>
        <v>-3640000</v>
      </c>
    </row>
    <row r="315" spans="1:13">
      <c r="A315" s="99" t="s">
        <v>4776</v>
      </c>
      <c r="B315" s="18">
        <v>-40000</v>
      </c>
      <c r="C315" s="18">
        <v>0</v>
      </c>
      <c r="D315" s="18">
        <f t="shared" si="18"/>
        <v>-40000</v>
      </c>
      <c r="E315" s="99" t="s">
        <v>4793</v>
      </c>
      <c r="F315" s="99">
        <v>4</v>
      </c>
      <c r="G315" s="36">
        <f t="shared" si="28"/>
        <v>27</v>
      </c>
      <c r="H315" s="99">
        <f t="shared" si="29"/>
        <v>0</v>
      </c>
      <c r="I315" s="99">
        <f t="shared" si="30"/>
        <v>-1080000</v>
      </c>
      <c r="J315" s="99">
        <f t="shared" si="31"/>
        <v>0</v>
      </c>
      <c r="K315" s="99">
        <f t="shared" si="32"/>
        <v>-1080000</v>
      </c>
    </row>
    <row r="316" spans="1:13">
      <c r="A316" s="99" t="s">
        <v>4799</v>
      </c>
      <c r="B316" s="18">
        <v>1669690</v>
      </c>
      <c r="C316" s="18">
        <v>0</v>
      </c>
      <c r="D316" s="18">
        <f t="shared" si="18"/>
        <v>1669690</v>
      </c>
      <c r="E316" s="99" t="s">
        <v>3891</v>
      </c>
      <c r="F316" s="99">
        <v>4</v>
      </c>
      <c r="G316" s="36">
        <f t="shared" si="28"/>
        <v>23</v>
      </c>
      <c r="H316" s="99">
        <f t="shared" si="29"/>
        <v>1</v>
      </c>
      <c r="I316" s="99">
        <f t="shared" si="30"/>
        <v>36733180</v>
      </c>
      <c r="J316" s="99">
        <f t="shared" si="31"/>
        <v>0</v>
      </c>
      <c r="K316" s="99">
        <f t="shared" si="32"/>
        <v>36733180</v>
      </c>
    </row>
    <row r="317" spans="1:13">
      <c r="A317" s="11" t="s">
        <v>4824</v>
      </c>
      <c r="B317" s="18">
        <v>-548543</v>
      </c>
      <c r="C317" s="18">
        <v>0</v>
      </c>
      <c r="D317" s="18">
        <f t="shared" si="18"/>
        <v>-548543</v>
      </c>
      <c r="E317" s="99" t="s">
        <v>3927</v>
      </c>
      <c r="F317" s="99">
        <v>1</v>
      </c>
      <c r="G317" s="36">
        <f t="shared" si="28"/>
        <v>19</v>
      </c>
      <c r="H317" s="99">
        <f t="shared" si="29"/>
        <v>0</v>
      </c>
      <c r="I317" s="99">
        <f t="shared" si="30"/>
        <v>-10422317</v>
      </c>
      <c r="J317" s="99">
        <f t="shared" si="31"/>
        <v>0</v>
      </c>
      <c r="K317" s="99">
        <f t="shared" si="32"/>
        <v>-10422317</v>
      </c>
    </row>
    <row r="318" spans="1:13">
      <c r="A318" s="11" t="s">
        <v>4836</v>
      </c>
      <c r="B318" s="18">
        <v>2450000</v>
      </c>
      <c r="C318" s="18">
        <v>0</v>
      </c>
      <c r="D318" s="18">
        <f t="shared" si="18"/>
        <v>2450000</v>
      </c>
      <c r="E318" s="99" t="s">
        <v>3891</v>
      </c>
      <c r="F318" s="99">
        <v>0</v>
      </c>
      <c r="G318" s="36">
        <f t="shared" si="28"/>
        <v>18</v>
      </c>
      <c r="H318" s="99">
        <f t="shared" si="29"/>
        <v>1</v>
      </c>
      <c r="I318" s="99">
        <f t="shared" si="30"/>
        <v>41650000</v>
      </c>
      <c r="J318" s="99">
        <f t="shared" si="31"/>
        <v>0</v>
      </c>
      <c r="K318" s="99">
        <f t="shared" si="32"/>
        <v>41650000</v>
      </c>
    </row>
    <row r="319" spans="1:13">
      <c r="A319" s="11" t="s">
        <v>4836</v>
      </c>
      <c r="B319" s="18">
        <v>-1866154</v>
      </c>
      <c r="C319" s="18">
        <v>0</v>
      </c>
      <c r="D319" s="18">
        <f t="shared" si="18"/>
        <v>-1866154</v>
      </c>
      <c r="E319" s="19" t="s">
        <v>4845</v>
      </c>
      <c r="F319" s="99">
        <v>0</v>
      </c>
      <c r="G319" s="36">
        <f t="shared" si="28"/>
        <v>18</v>
      </c>
      <c r="H319" s="99">
        <f t="shared" si="29"/>
        <v>0</v>
      </c>
      <c r="I319" s="99">
        <f t="shared" si="30"/>
        <v>-33590772</v>
      </c>
      <c r="J319" s="99">
        <f t="shared" si="31"/>
        <v>0</v>
      </c>
      <c r="K319" s="99">
        <f t="shared" si="32"/>
        <v>-33590772</v>
      </c>
    </row>
    <row r="320" spans="1:13">
      <c r="A320" s="11" t="s">
        <v>4836</v>
      </c>
      <c r="B320" s="18">
        <v>-36600</v>
      </c>
      <c r="C320" s="18">
        <v>0</v>
      </c>
      <c r="D320" s="18">
        <f t="shared" si="18"/>
        <v>-36600</v>
      </c>
      <c r="E320" s="99" t="s">
        <v>4846</v>
      </c>
      <c r="F320" s="99">
        <v>1</v>
      </c>
      <c r="G320" s="36">
        <f t="shared" ref="G320:G369" si="33">G321+F320</f>
        <v>18</v>
      </c>
      <c r="H320" s="99">
        <f t="shared" ref="H320:H369" si="34">IF(B320&gt;0,1,0)</f>
        <v>0</v>
      </c>
      <c r="I320" s="99">
        <f t="shared" ref="I320:I369" si="35">B320*(G320-H320)</f>
        <v>-658800</v>
      </c>
      <c r="J320" s="99">
        <f t="shared" ref="J320:J369" si="36">C320*(G320-H320)</f>
        <v>0</v>
      </c>
      <c r="K320" s="99">
        <f t="shared" ref="K320:K369" si="37">D320*(G320-H320)</f>
        <v>-658800</v>
      </c>
    </row>
    <row r="321" spans="1:14">
      <c r="A321" s="99" t="s">
        <v>4847</v>
      </c>
      <c r="B321" s="18">
        <v>-492000</v>
      </c>
      <c r="C321" s="18">
        <v>0</v>
      </c>
      <c r="D321" s="18">
        <f t="shared" si="18"/>
        <v>-492000</v>
      </c>
      <c r="E321" s="99" t="s">
        <v>4848</v>
      </c>
      <c r="F321" s="99">
        <v>0</v>
      </c>
      <c r="G321" s="36">
        <f t="shared" si="33"/>
        <v>17</v>
      </c>
      <c r="H321" s="99">
        <f t="shared" si="34"/>
        <v>0</v>
      </c>
      <c r="I321" s="99">
        <f t="shared" si="35"/>
        <v>-8364000</v>
      </c>
      <c r="J321" s="99">
        <f t="shared" si="36"/>
        <v>0</v>
      </c>
      <c r="K321" s="99">
        <f t="shared" si="37"/>
        <v>-8364000</v>
      </c>
      <c r="M321" t="s">
        <v>25</v>
      </c>
    </row>
    <row r="322" spans="1:14">
      <c r="A322" s="99" t="s">
        <v>4847</v>
      </c>
      <c r="B322" s="18">
        <v>-518000</v>
      </c>
      <c r="C322" s="18">
        <v>0</v>
      </c>
      <c r="D322" s="18">
        <f t="shared" si="18"/>
        <v>-518000</v>
      </c>
      <c r="E322" s="99" t="s">
        <v>3927</v>
      </c>
      <c r="F322" s="99">
        <v>0</v>
      </c>
      <c r="G322" s="36">
        <f t="shared" si="33"/>
        <v>17</v>
      </c>
      <c r="H322" s="99">
        <f t="shared" si="34"/>
        <v>0</v>
      </c>
      <c r="I322" s="99">
        <f t="shared" si="35"/>
        <v>-8806000</v>
      </c>
      <c r="J322" s="99">
        <f t="shared" si="36"/>
        <v>0</v>
      </c>
      <c r="K322" s="99">
        <f t="shared" si="37"/>
        <v>-8806000</v>
      </c>
    </row>
    <row r="323" spans="1:14">
      <c r="A323" s="99" t="s">
        <v>4847</v>
      </c>
      <c r="B323" s="18">
        <v>-40000</v>
      </c>
      <c r="C323" s="18">
        <v>0</v>
      </c>
      <c r="D323" s="18">
        <f t="shared" si="18"/>
        <v>-40000</v>
      </c>
      <c r="E323" s="99" t="s">
        <v>4850</v>
      </c>
      <c r="F323" s="99">
        <v>1</v>
      </c>
      <c r="G323" s="36">
        <f t="shared" si="33"/>
        <v>17</v>
      </c>
      <c r="H323" s="99">
        <f t="shared" si="34"/>
        <v>0</v>
      </c>
      <c r="I323" s="99">
        <f t="shared" si="35"/>
        <v>-680000</v>
      </c>
      <c r="J323" s="99">
        <f t="shared" si="36"/>
        <v>0</v>
      </c>
      <c r="K323" s="99">
        <f t="shared" si="37"/>
        <v>-680000</v>
      </c>
    </row>
    <row r="324" spans="1:14">
      <c r="A324" s="99" t="s">
        <v>4851</v>
      </c>
      <c r="B324" s="18">
        <v>-66000</v>
      </c>
      <c r="C324" s="18">
        <v>0</v>
      </c>
      <c r="D324" s="18">
        <f t="shared" si="18"/>
        <v>-66000</v>
      </c>
      <c r="E324" s="99" t="s">
        <v>4850</v>
      </c>
      <c r="F324" s="99">
        <v>1</v>
      </c>
      <c r="G324" s="36">
        <f t="shared" si="33"/>
        <v>16</v>
      </c>
      <c r="H324" s="99">
        <f t="shared" si="34"/>
        <v>0</v>
      </c>
      <c r="I324" s="99">
        <f t="shared" si="35"/>
        <v>-1056000</v>
      </c>
      <c r="J324" s="99">
        <f t="shared" si="36"/>
        <v>0</v>
      </c>
      <c r="K324" s="99">
        <f t="shared" si="37"/>
        <v>-1056000</v>
      </c>
    </row>
    <row r="325" spans="1:14">
      <c r="A325" s="99" t="s">
        <v>4852</v>
      </c>
      <c r="B325" s="18">
        <v>-130000</v>
      </c>
      <c r="C325" s="18">
        <v>0</v>
      </c>
      <c r="D325" s="18">
        <f t="shared" si="18"/>
        <v>-130000</v>
      </c>
      <c r="E325" s="99" t="s">
        <v>306</v>
      </c>
      <c r="F325" s="99">
        <v>0</v>
      </c>
      <c r="G325" s="36">
        <f t="shared" si="33"/>
        <v>15</v>
      </c>
      <c r="H325" s="99">
        <f t="shared" si="34"/>
        <v>0</v>
      </c>
      <c r="I325" s="99">
        <f t="shared" si="35"/>
        <v>-1950000</v>
      </c>
      <c r="J325" s="99">
        <f t="shared" si="36"/>
        <v>0</v>
      </c>
      <c r="K325" s="99">
        <f t="shared" si="37"/>
        <v>-1950000</v>
      </c>
    </row>
    <row r="326" spans="1:14">
      <c r="A326" s="99" t="s">
        <v>4852</v>
      </c>
      <c r="B326" s="18">
        <v>-200500</v>
      </c>
      <c r="C326" s="18">
        <v>0</v>
      </c>
      <c r="D326" s="18">
        <f t="shared" si="18"/>
        <v>-200500</v>
      </c>
      <c r="E326" s="99" t="s">
        <v>4853</v>
      </c>
      <c r="F326" s="99">
        <v>2</v>
      </c>
      <c r="G326" s="36">
        <f t="shared" si="33"/>
        <v>15</v>
      </c>
      <c r="H326" s="99">
        <f t="shared" si="34"/>
        <v>0</v>
      </c>
      <c r="I326" s="99">
        <f t="shared" si="35"/>
        <v>-3007500</v>
      </c>
      <c r="J326" s="99">
        <f t="shared" si="36"/>
        <v>0</v>
      </c>
      <c r="K326" s="99">
        <f t="shared" si="37"/>
        <v>-3007500</v>
      </c>
      <c r="M326" t="s">
        <v>25</v>
      </c>
    </row>
    <row r="327" spans="1:14">
      <c r="A327" s="99" t="s">
        <v>4857</v>
      </c>
      <c r="B327" s="18">
        <v>1563000</v>
      </c>
      <c r="C327" s="18">
        <v>0</v>
      </c>
      <c r="D327" s="18">
        <f t="shared" si="18"/>
        <v>1563000</v>
      </c>
      <c r="E327" s="99" t="s">
        <v>4863</v>
      </c>
      <c r="F327" s="99">
        <v>0</v>
      </c>
      <c r="G327" s="36">
        <f t="shared" si="33"/>
        <v>13</v>
      </c>
      <c r="H327" s="99">
        <f t="shared" si="34"/>
        <v>1</v>
      </c>
      <c r="I327" s="99">
        <f t="shared" si="35"/>
        <v>18756000</v>
      </c>
      <c r="J327" s="99">
        <f t="shared" si="36"/>
        <v>0</v>
      </c>
      <c r="K327" s="99">
        <f t="shared" si="37"/>
        <v>18756000</v>
      </c>
    </row>
    <row r="328" spans="1:14">
      <c r="A328" s="99" t="s">
        <v>4857</v>
      </c>
      <c r="B328" s="18">
        <v>-160000</v>
      </c>
      <c r="C328" s="18">
        <v>0</v>
      </c>
      <c r="D328" s="18">
        <f t="shared" si="18"/>
        <v>-160000</v>
      </c>
      <c r="E328" s="99" t="s">
        <v>4153</v>
      </c>
      <c r="F328" s="99">
        <v>2</v>
      </c>
      <c r="G328" s="36">
        <f t="shared" si="33"/>
        <v>13</v>
      </c>
      <c r="H328" s="99">
        <f t="shared" si="34"/>
        <v>0</v>
      </c>
      <c r="I328" s="99">
        <f t="shared" si="35"/>
        <v>-2080000</v>
      </c>
      <c r="J328" s="99">
        <f t="shared" si="36"/>
        <v>0</v>
      </c>
      <c r="K328" s="99">
        <f t="shared" si="37"/>
        <v>-2080000</v>
      </c>
      <c r="N328" t="s">
        <v>25</v>
      </c>
    </row>
    <row r="329" spans="1:14">
      <c r="A329" s="99" t="s">
        <v>4872</v>
      </c>
      <c r="B329" s="18">
        <v>-20000</v>
      </c>
      <c r="C329" s="18">
        <v>0</v>
      </c>
      <c r="D329" s="18">
        <f t="shared" si="18"/>
        <v>-20000</v>
      </c>
      <c r="E329" s="99" t="s">
        <v>4877</v>
      </c>
      <c r="F329" s="99">
        <v>3</v>
      </c>
      <c r="G329" s="36">
        <f t="shared" si="33"/>
        <v>11</v>
      </c>
      <c r="H329" s="99">
        <f t="shared" si="34"/>
        <v>0</v>
      </c>
      <c r="I329" s="99">
        <f t="shared" si="35"/>
        <v>-220000</v>
      </c>
      <c r="J329" s="99">
        <f t="shared" si="36"/>
        <v>0</v>
      </c>
      <c r="K329" s="99">
        <f t="shared" si="37"/>
        <v>-220000</v>
      </c>
    </row>
    <row r="330" spans="1:14">
      <c r="A330" s="99" t="s">
        <v>974</v>
      </c>
      <c r="B330" s="18">
        <v>-30000</v>
      </c>
      <c r="C330" s="18">
        <v>0</v>
      </c>
      <c r="D330" s="18">
        <f t="shared" si="18"/>
        <v>-30000</v>
      </c>
      <c r="E330" s="99" t="s">
        <v>4890</v>
      </c>
      <c r="F330" s="99">
        <v>0</v>
      </c>
      <c r="G330" s="36">
        <f t="shared" si="33"/>
        <v>8</v>
      </c>
      <c r="H330" s="99">
        <f t="shared" si="34"/>
        <v>0</v>
      </c>
      <c r="I330" s="99">
        <f t="shared" si="35"/>
        <v>-240000</v>
      </c>
      <c r="J330" s="99">
        <f t="shared" si="36"/>
        <v>0</v>
      </c>
      <c r="K330" s="99">
        <f t="shared" si="37"/>
        <v>-240000</v>
      </c>
    </row>
    <row r="331" spans="1:14">
      <c r="A331" s="99" t="s">
        <v>974</v>
      </c>
      <c r="B331" s="18">
        <v>-790500</v>
      </c>
      <c r="C331" s="18">
        <v>0</v>
      </c>
      <c r="D331" s="18">
        <f t="shared" si="18"/>
        <v>-790500</v>
      </c>
      <c r="E331" s="99" t="s">
        <v>4896</v>
      </c>
      <c r="F331" s="99">
        <v>2</v>
      </c>
      <c r="G331" s="36">
        <f t="shared" si="33"/>
        <v>8</v>
      </c>
      <c r="H331" s="99">
        <f t="shared" si="34"/>
        <v>0</v>
      </c>
      <c r="I331" s="99">
        <f t="shared" si="35"/>
        <v>-6324000</v>
      </c>
      <c r="J331" s="99">
        <f t="shared" si="36"/>
        <v>0</v>
      </c>
      <c r="K331" s="99">
        <f t="shared" si="37"/>
        <v>-6324000</v>
      </c>
    </row>
    <row r="332" spans="1:14">
      <c r="A332" s="99" t="s">
        <v>4902</v>
      </c>
      <c r="B332" s="18">
        <v>-10932</v>
      </c>
      <c r="C332" s="18">
        <v>0</v>
      </c>
      <c r="D332" s="18">
        <f t="shared" si="18"/>
        <v>-10932</v>
      </c>
      <c r="E332" s="99" t="s">
        <v>3927</v>
      </c>
      <c r="F332" s="99">
        <v>2</v>
      </c>
      <c r="G332" s="36">
        <f t="shared" si="33"/>
        <v>6</v>
      </c>
      <c r="H332" s="99">
        <f t="shared" si="34"/>
        <v>0</v>
      </c>
      <c r="I332" s="99">
        <f t="shared" si="35"/>
        <v>-65592</v>
      </c>
      <c r="J332" s="99">
        <f t="shared" si="36"/>
        <v>0</v>
      </c>
      <c r="K332" s="99">
        <f t="shared" si="37"/>
        <v>-65592</v>
      </c>
    </row>
    <row r="333" spans="1:14">
      <c r="A333" s="99" t="s">
        <v>4914</v>
      </c>
      <c r="B333" s="18">
        <v>400000</v>
      </c>
      <c r="C333" s="18">
        <v>0</v>
      </c>
      <c r="D333" s="18">
        <f t="shared" si="18"/>
        <v>400000</v>
      </c>
      <c r="E333" s="99"/>
      <c r="F333" s="99">
        <v>1</v>
      </c>
      <c r="G333" s="36">
        <f t="shared" si="33"/>
        <v>4</v>
      </c>
      <c r="H333" s="99">
        <f t="shared" si="34"/>
        <v>1</v>
      </c>
      <c r="I333" s="99">
        <f t="shared" si="35"/>
        <v>1200000</v>
      </c>
      <c r="J333" s="99">
        <f t="shared" si="36"/>
        <v>0</v>
      </c>
      <c r="K333" s="99">
        <f t="shared" si="37"/>
        <v>1200000</v>
      </c>
    </row>
    <row r="334" spans="1:14">
      <c r="A334" s="99" t="s">
        <v>4926</v>
      </c>
      <c r="B334" s="18">
        <v>360000</v>
      </c>
      <c r="C334" s="18">
        <v>0</v>
      </c>
      <c r="D334" s="18">
        <f t="shared" si="18"/>
        <v>360000</v>
      </c>
      <c r="E334" s="99" t="s">
        <v>3891</v>
      </c>
      <c r="F334" s="99">
        <v>0</v>
      </c>
      <c r="G334" s="36">
        <f t="shared" si="33"/>
        <v>3</v>
      </c>
      <c r="H334" s="99">
        <f t="shared" si="34"/>
        <v>1</v>
      </c>
      <c r="I334" s="99">
        <f t="shared" si="35"/>
        <v>720000</v>
      </c>
      <c r="J334" s="99">
        <f t="shared" si="36"/>
        <v>0</v>
      </c>
      <c r="K334" s="99">
        <f t="shared" si="37"/>
        <v>720000</v>
      </c>
    </row>
    <row r="335" spans="1:14">
      <c r="A335" s="99" t="s">
        <v>4926</v>
      </c>
      <c r="B335" s="18">
        <v>-438200</v>
      </c>
      <c r="C335" s="18">
        <v>0</v>
      </c>
      <c r="D335" s="18">
        <f t="shared" si="18"/>
        <v>-438200</v>
      </c>
      <c r="E335" s="99" t="s">
        <v>4014</v>
      </c>
      <c r="F335" s="99">
        <v>0</v>
      </c>
      <c r="G335" s="36">
        <f t="shared" si="33"/>
        <v>3</v>
      </c>
      <c r="H335" s="99">
        <f t="shared" si="34"/>
        <v>0</v>
      </c>
      <c r="I335" s="99">
        <f t="shared" si="35"/>
        <v>-1314600</v>
      </c>
      <c r="J335" s="99">
        <f t="shared" si="36"/>
        <v>0</v>
      </c>
      <c r="K335" s="99">
        <f t="shared" si="37"/>
        <v>-1314600</v>
      </c>
    </row>
    <row r="336" spans="1:14">
      <c r="A336" s="11" t="s">
        <v>4926</v>
      </c>
      <c r="B336" s="18">
        <v>-299000</v>
      </c>
      <c r="C336" s="18">
        <v>0</v>
      </c>
      <c r="D336" s="18">
        <f t="shared" si="18"/>
        <v>-299000</v>
      </c>
      <c r="E336" s="99" t="s">
        <v>3927</v>
      </c>
      <c r="F336" s="99">
        <v>1</v>
      </c>
      <c r="G336" s="36">
        <f t="shared" si="33"/>
        <v>3</v>
      </c>
      <c r="H336" s="99">
        <f t="shared" si="34"/>
        <v>0</v>
      </c>
      <c r="I336" s="99">
        <f t="shared" si="35"/>
        <v>-897000</v>
      </c>
      <c r="J336" s="99">
        <f t="shared" si="36"/>
        <v>0</v>
      </c>
      <c r="K336" s="99">
        <f t="shared" si="37"/>
        <v>-897000</v>
      </c>
    </row>
    <row r="337" spans="1:13">
      <c r="A337" s="11" t="s">
        <v>4936</v>
      </c>
      <c r="B337" s="18">
        <v>1700000</v>
      </c>
      <c r="C337" s="18">
        <v>0</v>
      </c>
      <c r="D337" s="18">
        <f t="shared" si="18"/>
        <v>1700000</v>
      </c>
      <c r="E337" s="99" t="s">
        <v>517</v>
      </c>
      <c r="F337" s="99">
        <v>0</v>
      </c>
      <c r="G337" s="36">
        <f t="shared" ref="G337:G369" si="38">G338+F337</f>
        <v>2</v>
      </c>
      <c r="H337" s="99">
        <f t="shared" ref="H337:H369" si="39">IF(B337&gt;0,1,0)</f>
        <v>1</v>
      </c>
      <c r="I337" s="99">
        <f t="shared" ref="I337:I369" si="40">B337*(G337-H337)</f>
        <v>1700000</v>
      </c>
      <c r="J337" s="99">
        <f t="shared" ref="J337:J369" si="41">C337*(G337-H337)</f>
        <v>0</v>
      </c>
      <c r="K337" s="99">
        <f t="shared" ref="K337:K369" si="42">D337*(G337-H337)</f>
        <v>1700000</v>
      </c>
      <c r="L337" t="s">
        <v>25</v>
      </c>
    </row>
    <row r="338" spans="1:13">
      <c r="A338" s="99" t="s">
        <v>4936</v>
      </c>
      <c r="B338" s="18">
        <v>-360000</v>
      </c>
      <c r="C338" s="18">
        <v>0</v>
      </c>
      <c r="D338" s="18">
        <f t="shared" si="18"/>
        <v>-360000</v>
      </c>
      <c r="E338" s="99" t="s">
        <v>3927</v>
      </c>
      <c r="F338" s="99">
        <v>1</v>
      </c>
      <c r="G338" s="36">
        <f t="shared" si="38"/>
        <v>2</v>
      </c>
      <c r="H338" s="99">
        <f t="shared" si="39"/>
        <v>0</v>
      </c>
      <c r="I338" s="99">
        <f t="shared" si="40"/>
        <v>-720000</v>
      </c>
      <c r="J338" s="99">
        <f t="shared" si="41"/>
        <v>0</v>
      </c>
      <c r="K338" s="99">
        <f t="shared" si="42"/>
        <v>-720000</v>
      </c>
    </row>
    <row r="339" spans="1:13">
      <c r="A339" s="99" t="s">
        <v>4937</v>
      </c>
      <c r="B339" s="18">
        <v>-2000000</v>
      </c>
      <c r="C339" s="18">
        <v>0</v>
      </c>
      <c r="D339" s="18">
        <f t="shared" si="18"/>
        <v>-2000000</v>
      </c>
      <c r="E339" s="99" t="s">
        <v>4259</v>
      </c>
      <c r="F339" s="99">
        <v>0</v>
      </c>
      <c r="G339" s="36">
        <f t="shared" si="38"/>
        <v>1</v>
      </c>
      <c r="H339" s="99">
        <f t="shared" si="39"/>
        <v>0</v>
      </c>
      <c r="I339" s="99">
        <f t="shared" si="40"/>
        <v>-2000000</v>
      </c>
      <c r="J339" s="99">
        <f t="shared" si="41"/>
        <v>0</v>
      </c>
      <c r="K339" s="99">
        <f t="shared" si="42"/>
        <v>-2000000</v>
      </c>
    </row>
    <row r="340" spans="1:13">
      <c r="A340" s="99" t="s">
        <v>4937</v>
      </c>
      <c r="B340" s="18">
        <v>280000</v>
      </c>
      <c r="C340" s="18">
        <v>0</v>
      </c>
      <c r="D340" s="18">
        <f t="shared" si="18"/>
        <v>280000</v>
      </c>
      <c r="E340" s="99" t="s">
        <v>3891</v>
      </c>
      <c r="F340" s="99">
        <v>1</v>
      </c>
      <c r="G340" s="36">
        <f t="shared" si="38"/>
        <v>1</v>
      </c>
      <c r="H340" s="99">
        <f t="shared" si="39"/>
        <v>1</v>
      </c>
      <c r="I340" s="99">
        <f t="shared" si="40"/>
        <v>0</v>
      </c>
      <c r="J340" s="99">
        <f t="shared" si="41"/>
        <v>0</v>
      </c>
      <c r="K340" s="99">
        <f t="shared" si="42"/>
        <v>0</v>
      </c>
    </row>
    <row r="341" spans="1:13">
      <c r="A341" s="99"/>
      <c r="B341" s="18"/>
      <c r="C341" s="18"/>
      <c r="D341" s="18"/>
      <c r="E341" s="99"/>
      <c r="F341" s="99"/>
      <c r="G341" s="36">
        <f t="shared" si="38"/>
        <v>0</v>
      </c>
      <c r="H341" s="99">
        <f t="shared" si="39"/>
        <v>0</v>
      </c>
      <c r="I341" s="99">
        <f t="shared" si="40"/>
        <v>0</v>
      </c>
      <c r="J341" s="99">
        <f t="shared" si="41"/>
        <v>0</v>
      </c>
      <c r="K341" s="99">
        <f t="shared" si="42"/>
        <v>0</v>
      </c>
      <c r="M341" t="s">
        <v>25</v>
      </c>
    </row>
    <row r="342" spans="1:13">
      <c r="A342" s="99"/>
      <c r="B342" s="18"/>
      <c r="C342" s="18"/>
      <c r="D342" s="18"/>
      <c r="E342" s="99"/>
      <c r="F342" s="99"/>
      <c r="G342" s="36">
        <f t="shared" si="38"/>
        <v>0</v>
      </c>
      <c r="H342" s="99">
        <f t="shared" si="39"/>
        <v>0</v>
      </c>
      <c r="I342" s="99">
        <f t="shared" si="40"/>
        <v>0</v>
      </c>
      <c r="J342" s="99">
        <f t="shared" si="41"/>
        <v>0</v>
      </c>
      <c r="K342" s="99">
        <f t="shared" si="42"/>
        <v>0</v>
      </c>
    </row>
    <row r="343" spans="1:13">
      <c r="A343" s="99"/>
      <c r="B343" s="18"/>
      <c r="C343" s="18"/>
      <c r="D343" s="18"/>
      <c r="E343" s="99"/>
      <c r="F343" s="99"/>
      <c r="G343" s="36">
        <f t="shared" si="38"/>
        <v>0</v>
      </c>
      <c r="H343" s="99">
        <f t="shared" si="39"/>
        <v>0</v>
      </c>
      <c r="I343" s="99">
        <f t="shared" si="40"/>
        <v>0</v>
      </c>
      <c r="J343" s="99">
        <f t="shared" si="41"/>
        <v>0</v>
      </c>
      <c r="K343" s="99">
        <f t="shared" si="42"/>
        <v>0</v>
      </c>
    </row>
    <row r="344" spans="1:13">
      <c r="A344" s="99"/>
      <c r="B344" s="18"/>
      <c r="C344" s="18"/>
      <c r="D344" s="18"/>
      <c r="E344" s="99"/>
      <c r="F344" s="99"/>
      <c r="G344" s="36">
        <f t="shared" si="38"/>
        <v>0</v>
      </c>
      <c r="H344" s="99">
        <f t="shared" si="39"/>
        <v>0</v>
      </c>
      <c r="I344" s="99">
        <f t="shared" si="40"/>
        <v>0</v>
      </c>
      <c r="J344" s="99">
        <f t="shared" si="41"/>
        <v>0</v>
      </c>
      <c r="K344" s="99">
        <f t="shared" si="42"/>
        <v>0</v>
      </c>
    </row>
    <row r="345" spans="1:13">
      <c r="A345" s="99"/>
      <c r="B345" s="18"/>
      <c r="C345" s="18"/>
      <c r="D345" s="18"/>
      <c r="E345" s="99"/>
      <c r="F345" s="99"/>
      <c r="G345" s="36">
        <f t="shared" si="38"/>
        <v>0</v>
      </c>
      <c r="H345" s="99">
        <f t="shared" si="39"/>
        <v>0</v>
      </c>
      <c r="I345" s="99">
        <f t="shared" si="40"/>
        <v>0</v>
      </c>
      <c r="J345" s="99">
        <f t="shared" si="41"/>
        <v>0</v>
      </c>
      <c r="K345" s="99">
        <f t="shared" si="42"/>
        <v>0</v>
      </c>
      <c r="L345" t="s">
        <v>25</v>
      </c>
    </row>
    <row r="346" spans="1:13">
      <c r="A346" s="99"/>
      <c r="B346" s="18"/>
      <c r="C346" s="18"/>
      <c r="D346" s="18"/>
      <c r="E346" s="99"/>
      <c r="F346" s="99"/>
      <c r="G346" s="36">
        <f t="shared" si="38"/>
        <v>0</v>
      </c>
      <c r="H346" s="99">
        <f t="shared" si="39"/>
        <v>0</v>
      </c>
      <c r="I346" s="99">
        <f t="shared" si="40"/>
        <v>0</v>
      </c>
      <c r="J346" s="99">
        <f t="shared" si="41"/>
        <v>0</v>
      </c>
      <c r="K346" s="99">
        <f t="shared" si="42"/>
        <v>0</v>
      </c>
    </row>
    <row r="347" spans="1:13">
      <c r="A347" s="99"/>
      <c r="B347" s="18"/>
      <c r="C347" s="18"/>
      <c r="D347" s="18"/>
      <c r="E347" s="99"/>
      <c r="F347" s="99"/>
      <c r="G347" s="36">
        <f t="shared" si="38"/>
        <v>0</v>
      </c>
      <c r="H347" s="99">
        <f t="shared" si="39"/>
        <v>0</v>
      </c>
      <c r="I347" s="99">
        <f t="shared" si="40"/>
        <v>0</v>
      </c>
      <c r="J347" s="99">
        <f t="shared" si="41"/>
        <v>0</v>
      </c>
      <c r="K347" s="99">
        <f t="shared" si="42"/>
        <v>0</v>
      </c>
    </row>
    <row r="348" spans="1:13">
      <c r="A348" s="99"/>
      <c r="B348" s="18"/>
      <c r="C348" s="18"/>
      <c r="D348" s="18"/>
      <c r="E348" s="99"/>
      <c r="F348" s="99"/>
      <c r="G348" s="36">
        <f t="shared" si="38"/>
        <v>0</v>
      </c>
      <c r="H348" s="99">
        <f t="shared" si="39"/>
        <v>0</v>
      </c>
      <c r="I348" s="99">
        <f t="shared" si="40"/>
        <v>0</v>
      </c>
      <c r="J348" s="99">
        <f t="shared" si="41"/>
        <v>0</v>
      </c>
      <c r="K348" s="99">
        <f t="shared" si="42"/>
        <v>0</v>
      </c>
      <c r="L348" t="s">
        <v>25</v>
      </c>
    </row>
    <row r="349" spans="1:13">
      <c r="A349" s="99"/>
      <c r="B349" s="18"/>
      <c r="C349" s="18"/>
      <c r="D349" s="18"/>
      <c r="E349" s="99"/>
      <c r="F349" s="99"/>
      <c r="G349" s="36">
        <f t="shared" si="38"/>
        <v>0</v>
      </c>
      <c r="H349" s="99">
        <f t="shared" si="39"/>
        <v>0</v>
      </c>
      <c r="I349" s="99">
        <f t="shared" si="40"/>
        <v>0</v>
      </c>
      <c r="J349" s="99">
        <f t="shared" si="41"/>
        <v>0</v>
      </c>
      <c r="K349" s="99">
        <f t="shared" si="42"/>
        <v>0</v>
      </c>
    </row>
    <row r="350" spans="1:13">
      <c r="A350" s="99"/>
      <c r="B350" s="18"/>
      <c r="C350" s="18"/>
      <c r="D350" s="18"/>
      <c r="E350" s="99"/>
      <c r="F350" s="99"/>
      <c r="G350" s="36">
        <f t="shared" si="38"/>
        <v>0</v>
      </c>
      <c r="H350" s="99">
        <f t="shared" si="39"/>
        <v>0</v>
      </c>
      <c r="I350" s="99">
        <f t="shared" si="40"/>
        <v>0</v>
      </c>
      <c r="J350" s="99">
        <f t="shared" si="41"/>
        <v>0</v>
      </c>
      <c r="K350" s="99">
        <f t="shared" si="42"/>
        <v>0</v>
      </c>
    </row>
    <row r="351" spans="1:13">
      <c r="A351" s="99"/>
      <c r="B351" s="18"/>
      <c r="C351" s="18"/>
      <c r="D351" s="18"/>
      <c r="E351" s="99"/>
      <c r="F351" s="99"/>
      <c r="G351" s="36">
        <f t="shared" si="38"/>
        <v>0</v>
      </c>
      <c r="H351" s="99">
        <f t="shared" si="39"/>
        <v>0</v>
      </c>
      <c r="I351" s="99">
        <f t="shared" si="40"/>
        <v>0</v>
      </c>
      <c r="J351" s="99">
        <f t="shared" si="41"/>
        <v>0</v>
      </c>
      <c r="K351" s="99">
        <f t="shared" si="42"/>
        <v>0</v>
      </c>
    </row>
    <row r="352" spans="1:13">
      <c r="A352" s="99"/>
      <c r="B352" s="18"/>
      <c r="C352" s="18"/>
      <c r="D352" s="18"/>
      <c r="E352" s="99"/>
      <c r="F352" s="99"/>
      <c r="G352" s="36">
        <f t="shared" si="38"/>
        <v>0</v>
      </c>
      <c r="H352" s="99">
        <f t="shared" si="39"/>
        <v>0</v>
      </c>
      <c r="I352" s="99">
        <f t="shared" si="40"/>
        <v>0</v>
      </c>
      <c r="J352" s="99">
        <f t="shared" si="41"/>
        <v>0</v>
      </c>
      <c r="K352" s="99">
        <f t="shared" si="42"/>
        <v>0</v>
      </c>
    </row>
    <row r="353" spans="1:11">
      <c r="A353" s="99"/>
      <c r="B353" s="18"/>
      <c r="C353" s="18"/>
      <c r="D353" s="18"/>
      <c r="E353" s="99"/>
      <c r="F353" s="99"/>
      <c r="G353" s="36">
        <f t="shared" si="38"/>
        <v>0</v>
      </c>
      <c r="H353" s="99">
        <f t="shared" si="39"/>
        <v>0</v>
      </c>
      <c r="I353" s="99">
        <f t="shared" si="40"/>
        <v>0</v>
      </c>
      <c r="J353" s="99">
        <f t="shared" si="41"/>
        <v>0</v>
      </c>
      <c r="K353" s="99">
        <f t="shared" si="42"/>
        <v>0</v>
      </c>
    </row>
    <row r="354" spans="1:11">
      <c r="A354" s="99"/>
      <c r="B354" s="18"/>
      <c r="C354" s="18"/>
      <c r="D354" s="18"/>
      <c r="E354" s="99"/>
      <c r="F354" s="99"/>
      <c r="G354" s="36">
        <f t="shared" si="38"/>
        <v>0</v>
      </c>
      <c r="H354" s="99">
        <f t="shared" si="39"/>
        <v>0</v>
      </c>
      <c r="I354" s="99">
        <f t="shared" si="40"/>
        <v>0</v>
      </c>
      <c r="J354" s="99">
        <f t="shared" si="41"/>
        <v>0</v>
      </c>
      <c r="K354" s="99">
        <f t="shared" si="42"/>
        <v>0</v>
      </c>
    </row>
    <row r="355" spans="1:11">
      <c r="A355" s="99"/>
      <c r="B355" s="18"/>
      <c r="C355" s="18"/>
      <c r="D355" s="18"/>
      <c r="E355" s="99"/>
      <c r="F355" s="99"/>
      <c r="G355" s="36">
        <f t="shared" si="38"/>
        <v>0</v>
      </c>
      <c r="H355" s="99">
        <f t="shared" si="39"/>
        <v>0</v>
      </c>
      <c r="I355" s="99">
        <f t="shared" si="40"/>
        <v>0</v>
      </c>
      <c r="J355" s="99">
        <f t="shared" si="41"/>
        <v>0</v>
      </c>
      <c r="K355" s="99">
        <f t="shared" si="42"/>
        <v>0</v>
      </c>
    </row>
    <row r="356" spans="1:11">
      <c r="A356" s="99"/>
      <c r="B356" s="18"/>
      <c r="C356" s="18"/>
      <c r="D356" s="18"/>
      <c r="E356" s="99"/>
      <c r="F356" s="99"/>
      <c r="G356" s="36">
        <f t="shared" si="38"/>
        <v>0</v>
      </c>
      <c r="H356" s="99">
        <f t="shared" si="39"/>
        <v>0</v>
      </c>
      <c r="I356" s="99">
        <f t="shared" si="40"/>
        <v>0</v>
      </c>
      <c r="J356" s="99">
        <f t="shared" si="41"/>
        <v>0</v>
      </c>
      <c r="K356" s="99">
        <f t="shared" si="42"/>
        <v>0</v>
      </c>
    </row>
    <row r="357" spans="1:11">
      <c r="A357" s="99"/>
      <c r="B357" s="18"/>
      <c r="C357" s="18"/>
      <c r="D357" s="18"/>
      <c r="E357" s="99"/>
      <c r="F357" s="99"/>
      <c r="G357" s="36">
        <f t="shared" si="38"/>
        <v>0</v>
      </c>
      <c r="H357" s="99">
        <f t="shared" si="39"/>
        <v>0</v>
      </c>
      <c r="I357" s="99">
        <f t="shared" si="40"/>
        <v>0</v>
      </c>
      <c r="J357" s="99">
        <f t="shared" si="41"/>
        <v>0</v>
      </c>
      <c r="K357" s="99">
        <f t="shared" si="42"/>
        <v>0</v>
      </c>
    </row>
    <row r="358" spans="1:11">
      <c r="A358" s="99"/>
      <c r="B358" s="18"/>
      <c r="C358" s="18"/>
      <c r="D358" s="18"/>
      <c r="E358" s="99"/>
      <c r="F358" s="99"/>
      <c r="G358" s="36">
        <f t="shared" si="38"/>
        <v>0</v>
      </c>
      <c r="H358" s="99">
        <f t="shared" si="39"/>
        <v>0</v>
      </c>
      <c r="I358" s="99">
        <f t="shared" si="40"/>
        <v>0</v>
      </c>
      <c r="J358" s="99">
        <f t="shared" si="41"/>
        <v>0</v>
      </c>
      <c r="K358" s="99">
        <f t="shared" si="42"/>
        <v>0</v>
      </c>
    </row>
    <row r="359" spans="1:11">
      <c r="A359" s="99"/>
      <c r="B359" s="18"/>
      <c r="C359" s="18"/>
      <c r="D359" s="18"/>
      <c r="E359" s="99"/>
      <c r="F359" s="99"/>
      <c r="G359" s="36">
        <f t="shared" si="38"/>
        <v>0</v>
      </c>
      <c r="H359" s="99">
        <f t="shared" si="39"/>
        <v>0</v>
      </c>
      <c r="I359" s="99">
        <f t="shared" si="40"/>
        <v>0</v>
      </c>
      <c r="J359" s="99">
        <f t="shared" si="41"/>
        <v>0</v>
      </c>
      <c r="K359" s="99">
        <f t="shared" si="42"/>
        <v>0</v>
      </c>
    </row>
    <row r="360" spans="1:11">
      <c r="A360" s="99"/>
      <c r="B360" s="18"/>
      <c r="C360" s="18"/>
      <c r="D360" s="18"/>
      <c r="E360" s="99"/>
      <c r="F360" s="99"/>
      <c r="G360" s="36">
        <f t="shared" si="38"/>
        <v>0</v>
      </c>
      <c r="H360" s="99">
        <f t="shared" si="39"/>
        <v>0</v>
      </c>
      <c r="I360" s="99">
        <f t="shared" si="40"/>
        <v>0</v>
      </c>
      <c r="J360" s="99">
        <f t="shared" si="41"/>
        <v>0</v>
      </c>
      <c r="K360" s="99">
        <f t="shared" si="42"/>
        <v>0</v>
      </c>
    </row>
    <row r="361" spans="1:11">
      <c r="A361" s="99"/>
      <c r="B361" s="18"/>
      <c r="C361" s="18"/>
      <c r="D361" s="18"/>
      <c r="E361" s="99"/>
      <c r="F361" s="99"/>
      <c r="G361" s="36">
        <f t="shared" si="38"/>
        <v>0</v>
      </c>
      <c r="H361" s="99">
        <f t="shared" si="39"/>
        <v>0</v>
      </c>
      <c r="I361" s="99">
        <f t="shared" si="40"/>
        <v>0</v>
      </c>
      <c r="J361" s="99">
        <f t="shared" si="41"/>
        <v>0</v>
      </c>
      <c r="K361" s="99">
        <f t="shared" si="42"/>
        <v>0</v>
      </c>
    </row>
    <row r="362" spans="1:11">
      <c r="A362" s="99"/>
      <c r="B362" s="18"/>
      <c r="C362" s="18"/>
      <c r="D362" s="18"/>
      <c r="E362" s="99"/>
      <c r="F362" s="99"/>
      <c r="G362" s="36">
        <f t="shared" si="38"/>
        <v>0</v>
      </c>
      <c r="H362" s="99">
        <f t="shared" si="39"/>
        <v>0</v>
      </c>
      <c r="I362" s="99">
        <f t="shared" si="40"/>
        <v>0</v>
      </c>
      <c r="J362" s="99">
        <f t="shared" si="41"/>
        <v>0</v>
      </c>
      <c r="K362" s="99">
        <f t="shared" si="42"/>
        <v>0</v>
      </c>
    </row>
    <row r="363" spans="1:11">
      <c r="A363" s="99"/>
      <c r="B363" s="18"/>
      <c r="C363" s="18"/>
      <c r="D363" s="18"/>
      <c r="E363" s="99"/>
      <c r="F363" s="99"/>
      <c r="G363" s="36">
        <f t="shared" si="38"/>
        <v>0</v>
      </c>
      <c r="H363" s="99">
        <f t="shared" si="39"/>
        <v>0</v>
      </c>
      <c r="I363" s="99">
        <f t="shared" si="40"/>
        <v>0</v>
      </c>
      <c r="J363" s="99">
        <f t="shared" si="41"/>
        <v>0</v>
      </c>
      <c r="K363" s="99">
        <f t="shared" si="42"/>
        <v>0</v>
      </c>
    </row>
    <row r="364" spans="1:11">
      <c r="A364" s="99"/>
      <c r="B364" s="18"/>
      <c r="C364" s="18"/>
      <c r="D364" s="18"/>
      <c r="E364" s="99"/>
      <c r="F364" s="99"/>
      <c r="G364" s="36">
        <f t="shared" si="38"/>
        <v>0</v>
      </c>
      <c r="H364" s="99">
        <f t="shared" si="39"/>
        <v>0</v>
      </c>
      <c r="I364" s="99">
        <f t="shared" si="40"/>
        <v>0</v>
      </c>
      <c r="J364" s="99">
        <f t="shared" si="41"/>
        <v>0</v>
      </c>
      <c r="K364" s="99">
        <f t="shared" si="42"/>
        <v>0</v>
      </c>
    </row>
    <row r="365" spans="1:11">
      <c r="A365" s="99"/>
      <c r="B365" s="18"/>
      <c r="C365" s="18"/>
      <c r="D365" s="18"/>
      <c r="E365" s="99"/>
      <c r="F365" s="99"/>
      <c r="G365" s="36">
        <f t="shared" si="38"/>
        <v>0</v>
      </c>
      <c r="H365" s="99">
        <f t="shared" si="39"/>
        <v>0</v>
      </c>
      <c r="I365" s="99">
        <f t="shared" si="40"/>
        <v>0</v>
      </c>
      <c r="J365" s="99">
        <f t="shared" si="41"/>
        <v>0</v>
      </c>
      <c r="K365" s="99">
        <f t="shared" si="42"/>
        <v>0</v>
      </c>
    </row>
    <row r="366" spans="1:11">
      <c r="A366" s="99"/>
      <c r="B366" s="18"/>
      <c r="C366" s="18"/>
      <c r="D366" s="18"/>
      <c r="E366" s="99"/>
      <c r="F366" s="99"/>
      <c r="G366" s="36">
        <f t="shared" si="38"/>
        <v>0</v>
      </c>
      <c r="H366" s="99">
        <f t="shared" si="39"/>
        <v>0</v>
      </c>
      <c r="I366" s="99">
        <f t="shared" si="40"/>
        <v>0</v>
      </c>
      <c r="J366" s="99">
        <f t="shared" si="41"/>
        <v>0</v>
      </c>
      <c r="K366" s="99">
        <f t="shared" si="42"/>
        <v>0</v>
      </c>
    </row>
    <row r="367" spans="1:11">
      <c r="A367" s="99"/>
      <c r="B367" s="18"/>
      <c r="C367" s="18"/>
      <c r="D367" s="18"/>
      <c r="E367" s="99"/>
      <c r="F367" s="99"/>
      <c r="G367" s="36">
        <f t="shared" si="38"/>
        <v>0</v>
      </c>
      <c r="H367" s="99">
        <f t="shared" si="39"/>
        <v>0</v>
      </c>
      <c r="I367" s="99">
        <f t="shared" si="40"/>
        <v>0</v>
      </c>
      <c r="J367" s="99">
        <f t="shared" si="41"/>
        <v>0</v>
      </c>
      <c r="K367" s="99">
        <f t="shared" si="42"/>
        <v>0</v>
      </c>
    </row>
    <row r="368" spans="1:11">
      <c r="A368" s="99"/>
      <c r="B368" s="18"/>
      <c r="C368" s="18"/>
      <c r="D368" s="18"/>
      <c r="E368" s="99"/>
      <c r="F368" s="99"/>
      <c r="G368" s="36">
        <f t="shared" si="38"/>
        <v>0</v>
      </c>
      <c r="H368" s="99">
        <f t="shared" si="39"/>
        <v>0</v>
      </c>
      <c r="I368" s="99">
        <f t="shared" si="40"/>
        <v>0</v>
      </c>
      <c r="J368" s="99">
        <f t="shared" si="41"/>
        <v>0</v>
      </c>
      <c r="K368" s="99">
        <f t="shared" si="42"/>
        <v>0</v>
      </c>
    </row>
    <row r="369" spans="1:11">
      <c r="A369" s="99"/>
      <c r="B369" s="18"/>
      <c r="C369" s="18"/>
      <c r="D369" s="18">
        <f t="shared" si="18"/>
        <v>0</v>
      </c>
      <c r="E369" s="99"/>
      <c r="F369" s="99"/>
      <c r="G369" s="36">
        <f t="shared" si="38"/>
        <v>0</v>
      </c>
      <c r="H369" s="99">
        <f t="shared" si="39"/>
        <v>0</v>
      </c>
      <c r="I369" s="99">
        <f t="shared" si="40"/>
        <v>0</v>
      </c>
      <c r="J369" s="99">
        <f t="shared" si="41"/>
        <v>0</v>
      </c>
      <c r="K369" s="99">
        <f t="shared" si="42"/>
        <v>0</v>
      </c>
    </row>
    <row r="370" spans="1:11">
      <c r="A370" s="99"/>
      <c r="B370" s="18"/>
      <c r="C370" s="18"/>
      <c r="D370" s="18">
        <f t="shared" si="18"/>
        <v>0</v>
      </c>
      <c r="E370" s="11"/>
      <c r="F370" s="11">
        <v>0</v>
      </c>
      <c r="G370" s="36">
        <f>G371+F370</f>
        <v>0</v>
      </c>
      <c r="H370" s="99">
        <f t="shared" si="29"/>
        <v>0</v>
      </c>
      <c r="I370" s="99">
        <f t="shared" si="30"/>
        <v>0</v>
      </c>
      <c r="J370" s="99">
        <f t="shared" si="31"/>
        <v>0</v>
      </c>
      <c r="K370" s="99">
        <f t="shared" si="32"/>
        <v>0</v>
      </c>
    </row>
    <row r="371" spans="1:11">
      <c r="A371" s="99"/>
      <c r="B371" s="29">
        <f>SUM(B2:B370)</f>
        <v>470675</v>
      </c>
      <c r="C371" s="29">
        <f>SUM(C2:C370)</f>
        <v>0</v>
      </c>
      <c r="D371" s="29">
        <f>SUM(D2:D370)</f>
        <v>470675</v>
      </c>
      <c r="E371" s="11"/>
      <c r="F371" s="11"/>
      <c r="G371" s="11"/>
      <c r="H371" s="11"/>
      <c r="I371" s="29">
        <f>SUM(I2:I370)</f>
        <v>19206552179</v>
      </c>
      <c r="J371" s="29">
        <f>SUM(J2:J370)</f>
        <v>8687685429</v>
      </c>
      <c r="K371" s="29">
        <f>SUM(K2:K370)</f>
        <v>10518866750</v>
      </c>
    </row>
    <row r="372" spans="1:11">
      <c r="A372" s="99"/>
      <c r="B372" s="11" t="s">
        <v>283</v>
      </c>
      <c r="C372" s="11" t="s">
        <v>488</v>
      </c>
      <c r="D372" s="11" t="s">
        <v>489</v>
      </c>
      <c r="E372" s="11"/>
      <c r="F372" s="11"/>
      <c r="G372" s="11"/>
      <c r="H372" s="11"/>
      <c r="I372" s="11" t="s">
        <v>485</v>
      </c>
      <c r="J372" s="11" t="s">
        <v>486</v>
      </c>
      <c r="K372" s="11" t="s">
        <v>487</v>
      </c>
    </row>
    <row r="373" spans="1:11">
      <c r="A373" s="99"/>
      <c r="B373" s="11"/>
      <c r="C373" s="11"/>
      <c r="D373" s="11"/>
      <c r="E373" s="11"/>
      <c r="F373" s="11"/>
      <c r="G373" s="11"/>
      <c r="H373" s="11"/>
      <c r="I373" s="11"/>
      <c r="J373" s="11"/>
      <c r="K373" s="11"/>
    </row>
    <row r="374" spans="1:11">
      <c r="A374" s="99"/>
      <c r="B374" s="11"/>
      <c r="C374" s="11"/>
      <c r="D374" s="11"/>
      <c r="E374" s="11"/>
      <c r="F374" s="11"/>
      <c r="G374" s="11"/>
      <c r="H374" s="11"/>
      <c r="I374" s="3">
        <f>I371/G2</f>
        <v>17933288.682539683</v>
      </c>
      <c r="J374" s="29">
        <f>J371/G2</f>
        <v>8111751.1008403357</v>
      </c>
      <c r="K374" s="29">
        <f>K371/G2</f>
        <v>9821537.5816993471</v>
      </c>
    </row>
    <row r="375" spans="1:11">
      <c r="A375" s="99"/>
      <c r="B375" s="11"/>
      <c r="C375" s="11"/>
      <c r="D375" s="11"/>
      <c r="E375" s="11"/>
      <c r="F375" s="11"/>
      <c r="G375" s="11"/>
      <c r="H375" s="11"/>
      <c r="I375" s="11" t="s">
        <v>491</v>
      </c>
      <c r="J375" s="11" t="s">
        <v>492</v>
      </c>
      <c r="K375" s="11" t="s">
        <v>493</v>
      </c>
    </row>
    <row r="378" spans="1:11" ht="30">
      <c r="B378" s="22" t="s">
        <v>854</v>
      </c>
      <c r="D378" s="98">
        <f>D371-D151+D152</f>
        <v>1667314</v>
      </c>
      <c r="G378" t="s">
        <v>25</v>
      </c>
      <c r="J378">
        <f>J371/I371*1448696</f>
        <v>655287.58170410316</v>
      </c>
      <c r="K378">
        <f>K371/I371*1448696</f>
        <v>793408.41829589673</v>
      </c>
    </row>
    <row r="379" spans="1:11">
      <c r="B379" s="7"/>
      <c r="G379" t="s">
        <v>25</v>
      </c>
    </row>
    <row r="380" spans="1:11">
      <c r="B380" s="7"/>
      <c r="I380" t="s">
        <v>25</v>
      </c>
    </row>
    <row r="381" spans="1:11">
      <c r="I381" t="s">
        <v>25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1119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1119</v>
      </c>
      <c r="B6" s="18">
        <v>-31230</v>
      </c>
      <c r="C6" s="18">
        <v>0</v>
      </c>
      <c r="D6" s="3">
        <f t="shared" si="0"/>
        <v>-31230</v>
      </c>
      <c r="E6" s="19" t="s">
        <v>1120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1145</v>
      </c>
      <c r="B7" s="39">
        <v>135087</v>
      </c>
      <c r="C7" s="39">
        <v>41130</v>
      </c>
      <c r="D7" s="35">
        <f t="shared" si="0"/>
        <v>93957</v>
      </c>
      <c r="E7" s="5" t="s">
        <v>1154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1127</v>
      </c>
      <c r="P35" t="s">
        <v>60</v>
      </c>
      <c r="Q35" t="s">
        <v>61</v>
      </c>
    </row>
    <row r="36" spans="4:17">
      <c r="D36" s="42">
        <v>79552</v>
      </c>
      <c r="E36" s="41" t="s">
        <v>1128</v>
      </c>
    </row>
    <row r="37" spans="4:17">
      <c r="D37" s="7">
        <v>-65500</v>
      </c>
      <c r="E37" s="41" t="s">
        <v>1130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1145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1156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1175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1175</v>
      </c>
      <c r="B5" s="18">
        <v>-247840</v>
      </c>
      <c r="C5" s="18">
        <v>0</v>
      </c>
      <c r="D5" s="113">
        <f t="shared" si="0"/>
        <v>-247840</v>
      </c>
      <c r="E5" s="20" t="s">
        <v>1178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1181</v>
      </c>
      <c r="B6" s="18">
        <v>-162340</v>
      </c>
      <c r="C6" s="18">
        <v>0</v>
      </c>
      <c r="D6" s="113">
        <f t="shared" si="0"/>
        <v>-162340</v>
      </c>
      <c r="E6" s="19" t="s">
        <v>1184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1181</v>
      </c>
      <c r="B7" s="18">
        <v>-3000900</v>
      </c>
      <c r="C7" s="18">
        <v>0</v>
      </c>
      <c r="D7" s="113">
        <f t="shared" si="0"/>
        <v>-3000900</v>
      </c>
      <c r="E7" s="19" t="s">
        <v>1185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1197</v>
      </c>
      <c r="B8" s="18">
        <v>-1000500</v>
      </c>
      <c r="C8" s="18">
        <v>0</v>
      </c>
      <c r="D8" s="113">
        <f t="shared" si="0"/>
        <v>-1000500</v>
      </c>
      <c r="E8" s="19" t="s">
        <v>1199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1209</v>
      </c>
      <c r="B9" s="18">
        <v>-100000</v>
      </c>
      <c r="C9" s="18">
        <v>0</v>
      </c>
      <c r="D9" s="113">
        <f t="shared" si="0"/>
        <v>-100000</v>
      </c>
      <c r="E9" s="21" t="s">
        <v>1210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1213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1213</v>
      </c>
      <c r="B11" s="18">
        <v>-1000500</v>
      </c>
      <c r="C11" s="18">
        <v>0</v>
      </c>
      <c r="D11" s="113">
        <f t="shared" si="0"/>
        <v>-1000500</v>
      </c>
      <c r="E11" s="19" t="s">
        <v>1220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1223</v>
      </c>
      <c r="B12" s="18">
        <v>-5000</v>
      </c>
      <c r="C12" s="18">
        <v>0</v>
      </c>
      <c r="D12" s="113">
        <f t="shared" si="0"/>
        <v>-5000</v>
      </c>
      <c r="E12" s="20" t="s">
        <v>1210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3666</v>
      </c>
      <c r="B13" s="18">
        <v>3000000</v>
      </c>
      <c r="C13" s="18">
        <v>0</v>
      </c>
      <c r="D13" s="113">
        <f t="shared" si="0"/>
        <v>3000000</v>
      </c>
      <c r="E13" s="20" t="s">
        <v>3669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3670</v>
      </c>
      <c r="B14" s="18">
        <v>3000000</v>
      </c>
      <c r="C14" s="18">
        <v>0</v>
      </c>
      <c r="D14" s="113">
        <f t="shared" si="0"/>
        <v>3000000</v>
      </c>
      <c r="E14" s="20" t="s">
        <v>3669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3672</v>
      </c>
      <c r="B15" s="39">
        <v>20314</v>
      </c>
      <c r="C15" s="39">
        <v>59842</v>
      </c>
      <c r="D15" s="35">
        <f t="shared" si="0"/>
        <v>-39528</v>
      </c>
      <c r="E15" s="23" t="s">
        <v>3675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1159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1169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1176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1179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1208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1218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1219</v>
      </c>
    </row>
    <row r="51" spans="1:18">
      <c r="D51" s="114">
        <v>1000000</v>
      </c>
      <c r="E51" s="41" t="s">
        <v>1221</v>
      </c>
    </row>
    <row r="52" spans="1:18">
      <c r="D52" s="114">
        <v>910500</v>
      </c>
      <c r="E52" s="41" t="s">
        <v>1228</v>
      </c>
    </row>
    <row r="53" spans="1:18">
      <c r="D53" s="114">
        <v>-300000</v>
      </c>
      <c r="E53" s="41" t="s">
        <v>1231</v>
      </c>
    </row>
    <row r="54" spans="1:18">
      <c r="D54" s="114">
        <v>-58500</v>
      </c>
      <c r="E54" s="41" t="s">
        <v>1232</v>
      </c>
    </row>
    <row r="55" spans="1:18">
      <c r="D55" s="114">
        <v>-1500000</v>
      </c>
      <c r="E55" s="41" t="s">
        <v>1235</v>
      </c>
    </row>
    <row r="56" spans="1:18">
      <c r="D56" s="114">
        <v>-61000</v>
      </c>
      <c r="E56" s="41" t="s">
        <v>1239</v>
      </c>
    </row>
    <row r="57" spans="1:18">
      <c r="D57" s="114">
        <v>1000000</v>
      </c>
      <c r="E57" s="41" t="s">
        <v>3658</v>
      </c>
    </row>
    <row r="58" spans="1:18">
      <c r="D58" s="114">
        <v>200000</v>
      </c>
      <c r="E58" s="41" t="s">
        <v>3668</v>
      </c>
    </row>
    <row r="59" spans="1:18">
      <c r="D59" s="114">
        <v>3000000</v>
      </c>
      <c r="E59" s="41" t="s">
        <v>3673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3672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3695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3696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3772</v>
      </c>
      <c r="B4" s="18">
        <v>-3000900</v>
      </c>
      <c r="C4" s="18">
        <v>0</v>
      </c>
      <c r="D4" s="113">
        <f t="shared" si="0"/>
        <v>-3000900</v>
      </c>
      <c r="E4" s="99" t="s">
        <v>3774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3792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3698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3699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3763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3779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3796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3798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3799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3800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3792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3926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3891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3931</v>
      </c>
      <c r="B4" s="18">
        <v>-5000000</v>
      </c>
      <c r="C4" s="18">
        <v>0</v>
      </c>
      <c r="D4" s="113">
        <f t="shared" si="0"/>
        <v>-5000000</v>
      </c>
      <c r="E4" s="99" t="s">
        <v>3932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3954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3888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3892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3896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3898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3901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3908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3909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3915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3928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3938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3942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3947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3948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3668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3951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3792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3979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3979</v>
      </c>
      <c r="B4" s="18">
        <v>-32000</v>
      </c>
      <c r="C4" s="18">
        <v>0</v>
      </c>
      <c r="D4" s="113">
        <f t="shared" si="0"/>
        <v>-32000</v>
      </c>
      <c r="E4" s="99" t="s">
        <v>3962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3981</v>
      </c>
      <c r="B5" s="18">
        <v>-750000</v>
      </c>
      <c r="C5" s="18">
        <v>0</v>
      </c>
      <c r="D5" s="113">
        <f t="shared" si="0"/>
        <v>-750000</v>
      </c>
      <c r="E5" s="20" t="s">
        <v>3770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4013</v>
      </c>
      <c r="B6" s="18">
        <v>-9396</v>
      </c>
      <c r="C6" s="18">
        <v>0</v>
      </c>
      <c r="D6" s="113">
        <f t="shared" si="0"/>
        <v>-9396</v>
      </c>
      <c r="E6" s="19" t="s">
        <v>4016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4017</v>
      </c>
      <c r="B7" s="18">
        <v>-43300</v>
      </c>
      <c r="C7" s="18">
        <v>0</v>
      </c>
      <c r="D7" s="113">
        <f t="shared" si="0"/>
        <v>-43300</v>
      </c>
      <c r="E7" s="19" t="s">
        <v>4016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3687</v>
      </c>
      <c r="B8" s="18">
        <v>360000</v>
      </c>
      <c r="C8" s="18">
        <v>0</v>
      </c>
      <c r="D8" s="113">
        <f t="shared" si="0"/>
        <v>360000</v>
      </c>
      <c r="E8" s="19" t="s">
        <v>4030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4034</v>
      </c>
      <c r="B9" s="18">
        <v>3000000</v>
      </c>
      <c r="C9" s="18">
        <v>0</v>
      </c>
      <c r="D9" s="113">
        <f t="shared" si="0"/>
        <v>3000000</v>
      </c>
      <c r="E9" s="21" t="s">
        <v>4033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4032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3966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3968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3985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3986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3987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3988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3989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3992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3995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3996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3998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3999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4000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4004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4007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4008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4009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4010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4018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4020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4036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6" sqref="D76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747</v>
      </c>
      <c r="F2" s="11">
        <f>IF(B2&gt;0,1,0)</f>
        <v>1</v>
      </c>
      <c r="G2" s="11">
        <f>B2*(E2-F2)</f>
        <v>37300000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702</v>
      </c>
      <c r="F3" s="11">
        <f t="shared" ref="F3:F84" si="1">IF(B3&gt;0,1,0)</f>
        <v>1</v>
      </c>
      <c r="G3" s="11">
        <f t="shared" ref="G3:G84" si="2">B3*(E3-F3)</f>
        <v>471773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670</v>
      </c>
      <c r="F4" s="11">
        <f t="shared" si="1"/>
        <v>1</v>
      </c>
      <c r="G4" s="11">
        <f t="shared" si="2"/>
        <v>336507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639</v>
      </c>
      <c r="F5" s="11">
        <f t="shared" si="1"/>
        <v>1</v>
      </c>
      <c r="G5" s="11">
        <f t="shared" si="2"/>
        <v>304964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608</v>
      </c>
      <c r="F6" s="11">
        <f t="shared" si="1"/>
        <v>1</v>
      </c>
      <c r="G6" s="11">
        <f t="shared" si="2"/>
        <v>292574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577</v>
      </c>
      <c r="F7" s="11">
        <f t="shared" si="1"/>
        <v>1</v>
      </c>
      <c r="G7" s="11">
        <f t="shared" si="2"/>
        <v>280512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546</v>
      </c>
      <c r="F8" s="11">
        <f t="shared" si="1"/>
        <v>1</v>
      </c>
      <c r="G8" s="11">
        <f t="shared" si="2"/>
        <v>267595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515</v>
      </c>
      <c r="F9" s="11">
        <f t="shared" si="1"/>
        <v>1</v>
      </c>
      <c r="G9" s="11">
        <f t="shared" si="2"/>
        <v>254944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485</v>
      </c>
      <c r="F10" s="11">
        <f t="shared" si="1"/>
        <v>1</v>
      </c>
      <c r="G10" s="11">
        <f t="shared" si="2"/>
        <v>212960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455</v>
      </c>
      <c r="F11" s="11">
        <f t="shared" si="1"/>
        <v>1</v>
      </c>
      <c r="G11" s="11">
        <f t="shared" si="2"/>
        <v>201576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430</v>
      </c>
      <c r="F12" s="11">
        <f t="shared" si="1"/>
        <v>0</v>
      </c>
      <c r="G12" s="11">
        <f t="shared" si="2"/>
        <v>-4300000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426</v>
      </c>
      <c r="F13" s="11">
        <f t="shared" si="1"/>
        <v>1</v>
      </c>
      <c r="G13" s="11">
        <f t="shared" si="2"/>
        <v>185300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423</v>
      </c>
      <c r="F14" s="11">
        <f t="shared" si="1"/>
        <v>1</v>
      </c>
      <c r="G14" s="11">
        <f t="shared" si="2"/>
        <v>422000000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420</v>
      </c>
      <c r="F15" s="11">
        <f t="shared" si="1"/>
        <v>0</v>
      </c>
      <c r="G15" s="11">
        <f t="shared" si="2"/>
        <v>-39900000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420</v>
      </c>
      <c r="F16" s="11">
        <f t="shared" si="1"/>
        <v>0</v>
      </c>
      <c r="G16" s="11">
        <f t="shared" si="2"/>
        <v>-29652000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420</v>
      </c>
      <c r="F17" s="11">
        <f t="shared" si="1"/>
        <v>0</v>
      </c>
      <c r="G17" s="11">
        <f t="shared" si="2"/>
        <v>-189012600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418</v>
      </c>
      <c r="F18" s="11">
        <f t="shared" si="1"/>
        <v>0</v>
      </c>
      <c r="G18" s="11">
        <f t="shared" si="2"/>
        <v>-45581646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417</v>
      </c>
      <c r="F19" s="11">
        <f t="shared" si="1"/>
        <v>0</v>
      </c>
      <c r="G19" s="11">
        <f t="shared" si="2"/>
        <v>-10842000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414</v>
      </c>
      <c r="F20" s="11">
        <f t="shared" si="1"/>
        <v>0</v>
      </c>
      <c r="G20" s="11">
        <f t="shared" si="2"/>
        <v>-33120000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412</v>
      </c>
      <c r="F21" s="11">
        <f t="shared" si="1"/>
        <v>0</v>
      </c>
      <c r="G21" s="11">
        <f t="shared" si="2"/>
        <v>-39140000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410</v>
      </c>
      <c r="F22" s="11">
        <f t="shared" si="1"/>
        <v>0</v>
      </c>
      <c r="G22" s="11">
        <f t="shared" si="2"/>
        <v>-6424700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409</v>
      </c>
      <c r="F23" s="11">
        <f t="shared" si="1"/>
        <v>0</v>
      </c>
      <c r="G23" s="11">
        <f t="shared" si="2"/>
        <v>-39059500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408</v>
      </c>
      <c r="F24" s="11">
        <f t="shared" si="1"/>
        <v>1</v>
      </c>
      <c r="G24" s="11">
        <f t="shared" si="2"/>
        <v>814000000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408</v>
      </c>
      <c r="F25" s="11">
        <f t="shared" si="1"/>
        <v>0</v>
      </c>
      <c r="G25" s="11">
        <f t="shared" si="2"/>
        <v>-53631600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402</v>
      </c>
      <c r="F26" s="11">
        <f t="shared" si="1"/>
        <v>0</v>
      </c>
      <c r="G26" s="11">
        <f t="shared" si="2"/>
        <v>-6078240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400</v>
      </c>
      <c r="F27" s="11">
        <f t="shared" si="1"/>
        <v>0</v>
      </c>
      <c r="G27" s="11">
        <f t="shared" si="2"/>
        <v>-80000000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399</v>
      </c>
      <c r="F28" s="11">
        <f t="shared" si="1"/>
        <v>0</v>
      </c>
      <c r="G28" s="11">
        <f t="shared" si="2"/>
        <v>-72019500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396</v>
      </c>
      <c r="F29" s="11">
        <f t="shared" si="1"/>
        <v>1</v>
      </c>
      <c r="G29" s="11">
        <f t="shared" si="2"/>
        <v>2811215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392</v>
      </c>
      <c r="F30" s="11">
        <f t="shared" si="1"/>
        <v>0</v>
      </c>
      <c r="G30" s="11">
        <f t="shared" si="2"/>
        <v>-3920000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388</v>
      </c>
      <c r="F31" s="11">
        <f t="shared" si="1"/>
        <v>0</v>
      </c>
      <c r="G31" s="11">
        <f t="shared" si="2"/>
        <v>-18256564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382</v>
      </c>
      <c r="F32" s="11">
        <f t="shared" si="1"/>
        <v>0</v>
      </c>
      <c r="G32" s="11">
        <f t="shared" si="2"/>
        <v>-12938340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378</v>
      </c>
      <c r="F33" s="11">
        <f t="shared" si="1"/>
        <v>0</v>
      </c>
      <c r="G33" s="11">
        <f t="shared" si="2"/>
        <v>-8316000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378</v>
      </c>
      <c r="F34" s="11">
        <f t="shared" si="1"/>
        <v>0</v>
      </c>
      <c r="G34" s="11">
        <f t="shared" si="2"/>
        <v>-94500000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378</v>
      </c>
      <c r="F35" s="11">
        <f t="shared" si="1"/>
        <v>0</v>
      </c>
      <c r="G35" s="11">
        <f t="shared" si="2"/>
        <v>-245889000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376</v>
      </c>
      <c r="F36" s="11">
        <f t="shared" si="1"/>
        <v>0</v>
      </c>
      <c r="G36" s="11">
        <f t="shared" si="2"/>
        <v>-75200000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373</v>
      </c>
      <c r="F37" s="11">
        <f t="shared" si="1"/>
        <v>0</v>
      </c>
      <c r="G37" s="11">
        <f t="shared" si="2"/>
        <v>-74600000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373</v>
      </c>
      <c r="F38" s="11">
        <f t="shared" si="1"/>
        <v>0</v>
      </c>
      <c r="G38" s="11">
        <f t="shared" si="2"/>
        <v>-9800202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372</v>
      </c>
      <c r="F39" s="11">
        <f t="shared" si="1"/>
        <v>0</v>
      </c>
      <c r="G39" s="11">
        <f t="shared" si="2"/>
        <v>-3746040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371</v>
      </c>
      <c r="F40" s="11">
        <f t="shared" si="1"/>
        <v>0</v>
      </c>
      <c r="G40" s="11">
        <f t="shared" si="2"/>
        <v>-11130000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366</v>
      </c>
      <c r="F41" s="11">
        <f t="shared" si="1"/>
        <v>1</v>
      </c>
      <c r="G41" s="11">
        <f t="shared" si="2"/>
        <v>2730565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365</v>
      </c>
      <c r="F42" s="11">
        <f t="shared" si="1"/>
        <v>1</v>
      </c>
      <c r="G42" s="11">
        <f t="shared" si="2"/>
        <v>364000000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363</v>
      </c>
      <c r="F43" s="11">
        <f t="shared" si="1"/>
        <v>0</v>
      </c>
      <c r="G43" s="11">
        <f t="shared" si="2"/>
        <v>-14276790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360</v>
      </c>
      <c r="F44" s="11">
        <f t="shared" si="1"/>
        <v>0</v>
      </c>
      <c r="G44" s="11">
        <f t="shared" si="2"/>
        <v>-12628800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357</v>
      </c>
      <c r="F45" s="11">
        <f t="shared" si="1"/>
        <v>0</v>
      </c>
      <c r="G45" s="11">
        <f t="shared" si="2"/>
        <v>-71400000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356</v>
      </c>
      <c r="F46" s="11">
        <f t="shared" si="1"/>
        <v>0</v>
      </c>
      <c r="G46" s="11">
        <f t="shared" si="2"/>
        <v>-15083720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355</v>
      </c>
      <c r="F47" s="11">
        <f t="shared" si="1"/>
        <v>0</v>
      </c>
      <c r="G47" s="11">
        <f t="shared" si="2"/>
        <v>-15234470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352</v>
      </c>
      <c r="F48" s="11">
        <f t="shared" si="1"/>
        <v>0</v>
      </c>
      <c r="G48" s="11">
        <f t="shared" si="2"/>
        <v>-29216000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351</v>
      </c>
      <c r="F49" s="11">
        <f t="shared" si="1"/>
        <v>0</v>
      </c>
      <c r="G49" s="11">
        <f t="shared" si="2"/>
        <v>-33345000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349</v>
      </c>
      <c r="F50" s="11">
        <f t="shared" si="1"/>
        <v>0</v>
      </c>
      <c r="G50" s="11">
        <f t="shared" si="2"/>
        <v>-62820000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349</v>
      </c>
      <c r="F51" s="11">
        <f t="shared" si="1"/>
        <v>0</v>
      </c>
      <c r="G51" s="11">
        <f t="shared" si="2"/>
        <v>-33155000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347</v>
      </c>
      <c r="F52" s="11">
        <f t="shared" si="1"/>
        <v>0</v>
      </c>
      <c r="G52" s="11">
        <f t="shared" si="2"/>
        <v>-4434660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346</v>
      </c>
      <c r="F53" s="11">
        <f t="shared" si="1"/>
        <v>0</v>
      </c>
      <c r="G53" s="11">
        <f t="shared" si="2"/>
        <v>-7612000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345</v>
      </c>
      <c r="F54" s="11">
        <f t="shared" si="1"/>
        <v>1</v>
      </c>
      <c r="G54" s="11">
        <f t="shared" si="2"/>
        <v>343656000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345</v>
      </c>
      <c r="F55" s="11">
        <f t="shared" si="1"/>
        <v>1</v>
      </c>
      <c r="G55" s="11">
        <f t="shared" si="2"/>
        <v>36773600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345</v>
      </c>
      <c r="F56" s="11">
        <f t="shared" si="1"/>
        <v>0</v>
      </c>
      <c r="G56" s="11">
        <f t="shared" si="2"/>
        <v>-56235000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344</v>
      </c>
      <c r="F57" s="11">
        <f t="shared" si="1"/>
        <v>0</v>
      </c>
      <c r="G57" s="11">
        <f t="shared" si="2"/>
        <v>-6329600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343</v>
      </c>
      <c r="F58" s="11">
        <f t="shared" si="1"/>
        <v>0</v>
      </c>
      <c r="G58" s="11">
        <f t="shared" si="2"/>
        <v>-157017511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342</v>
      </c>
      <c r="F59" s="11">
        <f t="shared" si="1"/>
        <v>0</v>
      </c>
      <c r="G59" s="11">
        <f t="shared" si="2"/>
        <v>-68400000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339</v>
      </c>
      <c r="F60" s="11">
        <f t="shared" si="1"/>
        <v>0</v>
      </c>
      <c r="G60" s="11">
        <f t="shared" si="2"/>
        <v>-8071251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337</v>
      </c>
      <c r="F61" s="11">
        <f t="shared" si="1"/>
        <v>1</v>
      </c>
      <c r="G61" s="11">
        <f t="shared" si="2"/>
        <v>1401792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336</v>
      </c>
      <c r="F62" s="11">
        <f t="shared" si="1"/>
        <v>0</v>
      </c>
      <c r="G62" s="11">
        <f t="shared" si="2"/>
        <v>-54096000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335</v>
      </c>
      <c r="F63" s="11">
        <f t="shared" si="1"/>
        <v>0</v>
      </c>
      <c r="G63" s="11">
        <f t="shared" si="2"/>
        <v>-50084175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331</v>
      </c>
      <c r="F64" s="11">
        <f t="shared" si="1"/>
        <v>0</v>
      </c>
      <c r="G64" s="11">
        <f t="shared" si="2"/>
        <v>-1635140</v>
      </c>
    </row>
    <row r="65" spans="1:9">
      <c r="A65" s="11" t="s">
        <v>1145</v>
      </c>
      <c r="B65" s="3">
        <v>1009</v>
      </c>
      <c r="C65" s="11" t="s">
        <v>510</v>
      </c>
      <c r="D65" s="11">
        <v>2</v>
      </c>
      <c r="E65" s="11">
        <f t="shared" si="3"/>
        <v>306</v>
      </c>
      <c r="F65" s="11">
        <f t="shared" si="1"/>
        <v>1</v>
      </c>
      <c r="G65" s="11">
        <f t="shared" si="2"/>
        <v>307745</v>
      </c>
    </row>
    <row r="66" spans="1:9">
      <c r="A66" s="11" t="s">
        <v>1148</v>
      </c>
      <c r="B66" s="3">
        <v>-64538</v>
      </c>
      <c r="C66" s="11" t="s">
        <v>871</v>
      </c>
      <c r="D66" s="11">
        <v>9</v>
      </c>
      <c r="E66" s="11">
        <f t="shared" si="3"/>
        <v>304</v>
      </c>
      <c r="F66" s="11">
        <f t="shared" si="1"/>
        <v>0</v>
      </c>
      <c r="G66" s="11">
        <f t="shared" si="2"/>
        <v>-19619552</v>
      </c>
    </row>
    <row r="67" spans="1:9">
      <c r="A67" s="11" t="s">
        <v>1197</v>
      </c>
      <c r="B67" s="3">
        <v>1000000</v>
      </c>
      <c r="C67" s="11" t="s">
        <v>1202</v>
      </c>
      <c r="D67" s="11">
        <v>5</v>
      </c>
      <c r="E67" s="11">
        <f t="shared" si="3"/>
        <v>295</v>
      </c>
      <c r="F67" s="11">
        <f t="shared" si="1"/>
        <v>1</v>
      </c>
      <c r="G67" s="11">
        <f t="shared" si="2"/>
        <v>294000000</v>
      </c>
    </row>
    <row r="68" spans="1:9">
      <c r="A68" s="11" t="s">
        <v>1213</v>
      </c>
      <c r="B68" s="3">
        <v>-910500</v>
      </c>
      <c r="C68" s="11" t="s">
        <v>1214</v>
      </c>
      <c r="D68" s="11">
        <v>2</v>
      </c>
      <c r="E68" s="99">
        <f t="shared" si="3"/>
        <v>290</v>
      </c>
      <c r="F68" s="99">
        <f t="shared" si="1"/>
        <v>0</v>
      </c>
      <c r="G68" s="99">
        <f t="shared" si="2"/>
        <v>-264045000</v>
      </c>
    </row>
    <row r="69" spans="1:9">
      <c r="A69" s="99" t="s">
        <v>1222</v>
      </c>
      <c r="B69" s="113">
        <v>-24550</v>
      </c>
      <c r="C69" s="99" t="s">
        <v>871</v>
      </c>
      <c r="D69" s="99">
        <v>1</v>
      </c>
      <c r="E69" s="99">
        <f t="shared" si="3"/>
        <v>288</v>
      </c>
      <c r="F69" s="99">
        <f t="shared" si="1"/>
        <v>0</v>
      </c>
      <c r="G69" s="99">
        <f t="shared" si="2"/>
        <v>-7070400</v>
      </c>
    </row>
    <row r="70" spans="1:9">
      <c r="A70" s="99" t="s">
        <v>1223</v>
      </c>
      <c r="B70" s="113">
        <v>-75000</v>
      </c>
      <c r="C70" s="99" t="s">
        <v>1225</v>
      </c>
      <c r="D70" s="99">
        <v>12</v>
      </c>
      <c r="E70" s="99">
        <f t="shared" si="3"/>
        <v>287</v>
      </c>
      <c r="F70" s="99">
        <f t="shared" si="1"/>
        <v>0</v>
      </c>
      <c r="G70" s="99">
        <f t="shared" si="2"/>
        <v>-21525000</v>
      </c>
    </row>
    <row r="71" spans="1:9">
      <c r="A71" s="99" t="s">
        <v>3672</v>
      </c>
      <c r="B71" s="113">
        <v>1471</v>
      </c>
      <c r="C71" s="99" t="s">
        <v>3675</v>
      </c>
      <c r="D71" s="99">
        <v>139</v>
      </c>
      <c r="E71" s="99">
        <f t="shared" si="3"/>
        <v>275</v>
      </c>
      <c r="F71" s="99">
        <f t="shared" si="1"/>
        <v>1</v>
      </c>
      <c r="G71" s="99">
        <f t="shared" si="2"/>
        <v>403054</v>
      </c>
    </row>
    <row r="72" spans="1:9">
      <c r="A72" s="99" t="s">
        <v>4247</v>
      </c>
      <c r="B72" s="113">
        <v>-5000</v>
      </c>
      <c r="C72" s="99" t="s">
        <v>4248</v>
      </c>
      <c r="D72" s="99">
        <v>84</v>
      </c>
      <c r="E72" s="99">
        <f t="shared" si="3"/>
        <v>136</v>
      </c>
      <c r="F72" s="99">
        <f t="shared" si="1"/>
        <v>0</v>
      </c>
      <c r="G72" s="99">
        <f t="shared" si="2"/>
        <v>-680000</v>
      </c>
    </row>
    <row r="73" spans="1:9">
      <c r="A73" s="99" t="s">
        <v>4581</v>
      </c>
      <c r="B73" s="113">
        <v>100000</v>
      </c>
      <c r="C73" s="99" t="s">
        <v>3891</v>
      </c>
      <c r="D73" s="99">
        <v>50</v>
      </c>
      <c r="E73" s="99">
        <f t="shared" si="3"/>
        <v>52</v>
      </c>
      <c r="F73" s="99">
        <f t="shared" si="1"/>
        <v>1</v>
      </c>
      <c r="G73" s="99">
        <f t="shared" si="2"/>
        <v>5100000</v>
      </c>
    </row>
    <row r="74" spans="1:9">
      <c r="A74" s="99" t="s">
        <v>4776</v>
      </c>
      <c r="B74" s="113">
        <v>-38130</v>
      </c>
      <c r="C74" s="99" t="s">
        <v>1039</v>
      </c>
      <c r="D74" s="99">
        <v>1</v>
      </c>
      <c r="E74" s="99">
        <f t="shared" si="3"/>
        <v>2</v>
      </c>
      <c r="F74" s="99">
        <f t="shared" si="1"/>
        <v>0</v>
      </c>
      <c r="G74" s="99">
        <f t="shared" si="2"/>
        <v>-76260</v>
      </c>
      <c r="I74" t="s">
        <v>25</v>
      </c>
    </row>
    <row r="75" spans="1:9">
      <c r="A75" s="99" t="s">
        <v>4786</v>
      </c>
      <c r="B75" s="113">
        <v>-20000</v>
      </c>
      <c r="C75" s="99" t="s">
        <v>4794</v>
      </c>
      <c r="D75" s="99">
        <v>1</v>
      </c>
      <c r="E75" s="99">
        <f t="shared" si="3"/>
        <v>1</v>
      </c>
      <c r="F75" s="99">
        <f t="shared" si="1"/>
        <v>0</v>
      </c>
      <c r="G75" s="99">
        <f t="shared" si="2"/>
        <v>-20000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64773</v>
      </c>
      <c r="C85" s="11"/>
      <c r="D85" s="11"/>
      <c r="E85" s="11"/>
      <c r="F85" s="11"/>
      <c r="G85" s="29">
        <f>SUM(G2:G84)</f>
        <v>106123415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142066.15127175368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4040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4037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4039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4045</v>
      </c>
      <c r="B4" s="18">
        <v>-35800</v>
      </c>
      <c r="C4" s="18">
        <v>0</v>
      </c>
      <c r="D4" s="113">
        <f t="shared" si="0"/>
        <v>-35800</v>
      </c>
      <c r="E4" s="99" t="s">
        <v>3962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4044</v>
      </c>
      <c r="B5" s="18">
        <v>3600000</v>
      </c>
      <c r="C5" s="18">
        <v>0</v>
      </c>
      <c r="D5" s="113">
        <f t="shared" si="0"/>
        <v>3600000</v>
      </c>
      <c r="E5" s="20" t="s">
        <v>3891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4044</v>
      </c>
      <c r="B6" s="18">
        <v>-33377</v>
      </c>
      <c r="C6" s="18">
        <v>0</v>
      </c>
      <c r="D6" s="113">
        <f t="shared" si="0"/>
        <v>-33377</v>
      </c>
      <c r="E6" s="19" t="s">
        <v>4048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4067</v>
      </c>
      <c r="B7" s="18">
        <v>-9800000</v>
      </c>
      <c r="C7" s="18">
        <v>0</v>
      </c>
      <c r="D7" s="113">
        <f t="shared" si="0"/>
        <v>-9800000</v>
      </c>
      <c r="E7" s="19" t="s">
        <v>1217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4067</v>
      </c>
      <c r="B8" s="18">
        <v>18000000</v>
      </c>
      <c r="C8" s="18">
        <v>0</v>
      </c>
      <c r="D8" s="113">
        <f t="shared" si="0"/>
        <v>18000000</v>
      </c>
      <c r="E8" s="19" t="s">
        <v>4068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4067</v>
      </c>
      <c r="B9" s="18">
        <v>-9000000</v>
      </c>
      <c r="C9" s="18">
        <v>0</v>
      </c>
      <c r="D9" s="113">
        <f t="shared" si="0"/>
        <v>-9000000</v>
      </c>
      <c r="E9" s="21" t="s">
        <v>1217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-11600</v>
      </c>
      <c r="C10" s="18">
        <v>0</v>
      </c>
      <c r="D10" s="113">
        <f t="shared" si="0"/>
        <v>-11600</v>
      </c>
      <c r="E10" s="19" t="s">
        <v>4071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4067</v>
      </c>
      <c r="B11" s="18">
        <v>-3304327</v>
      </c>
      <c r="C11" s="18">
        <v>0</v>
      </c>
      <c r="D11" s="113">
        <f t="shared" si="0"/>
        <v>-3304327</v>
      </c>
      <c r="E11" s="19" t="s">
        <v>4072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4076</v>
      </c>
      <c r="B12" s="18">
        <v>-3000900</v>
      </c>
      <c r="C12" s="18">
        <v>0</v>
      </c>
      <c r="D12" s="113">
        <f t="shared" si="0"/>
        <v>-3000900</v>
      </c>
      <c r="E12" s="20" t="s">
        <v>4077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4081</v>
      </c>
      <c r="B13" s="18">
        <v>-2760900</v>
      </c>
      <c r="C13" s="18">
        <v>0</v>
      </c>
      <c r="D13" s="113">
        <f t="shared" si="0"/>
        <v>-2760900</v>
      </c>
      <c r="E13" s="20" t="s">
        <v>4082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4095</v>
      </c>
      <c r="B14" s="18">
        <v>1000000</v>
      </c>
      <c r="C14" s="18">
        <v>0</v>
      </c>
      <c r="D14" s="113">
        <f t="shared" si="0"/>
        <v>1000000</v>
      </c>
      <c r="E14" s="20" t="s">
        <v>4074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4111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4107</v>
      </c>
      <c r="B16" s="18">
        <v>-990000</v>
      </c>
      <c r="C16" s="18">
        <v>0</v>
      </c>
      <c r="D16" s="113">
        <f t="shared" si="0"/>
        <v>-990000</v>
      </c>
      <c r="E16" s="20" t="s">
        <v>3770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4107</v>
      </c>
      <c r="B17" s="18">
        <v>783000</v>
      </c>
      <c r="C17" s="18">
        <v>0</v>
      </c>
      <c r="D17" s="113">
        <f t="shared" si="0"/>
        <v>783000</v>
      </c>
      <c r="E17" s="20" t="s">
        <v>4114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4117</v>
      </c>
      <c r="B18" s="18">
        <v>-750500</v>
      </c>
      <c r="C18" s="18">
        <v>0</v>
      </c>
      <c r="D18" s="113">
        <f t="shared" si="0"/>
        <v>-750500</v>
      </c>
      <c r="E18" s="20" t="s">
        <v>4118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4130</v>
      </c>
      <c r="B19" s="18">
        <v>700000</v>
      </c>
      <c r="C19" s="18">
        <v>0</v>
      </c>
      <c r="D19" s="113">
        <f t="shared" si="0"/>
        <v>700000</v>
      </c>
      <c r="E19" s="20" t="s">
        <v>3891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4130</v>
      </c>
      <c r="B20" s="18">
        <v>-99000</v>
      </c>
      <c r="C20" s="18">
        <v>0</v>
      </c>
      <c r="D20" s="113">
        <f t="shared" si="0"/>
        <v>-99000</v>
      </c>
      <c r="E20" s="19" t="s">
        <v>4132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4133</v>
      </c>
      <c r="B21" s="18">
        <v>-205750</v>
      </c>
      <c r="C21" s="18">
        <v>0</v>
      </c>
      <c r="D21" s="113">
        <f t="shared" si="0"/>
        <v>-205750</v>
      </c>
      <c r="E21" s="19" t="s">
        <v>4134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4133</v>
      </c>
      <c r="B22" s="18">
        <v>-95000</v>
      </c>
      <c r="C22" s="18">
        <v>0</v>
      </c>
      <c r="D22" s="113">
        <f t="shared" si="0"/>
        <v>-95000</v>
      </c>
      <c r="E22" s="19" t="s">
        <v>4135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4151</v>
      </c>
      <c r="B23" s="18">
        <v>48650000</v>
      </c>
      <c r="C23" s="18">
        <v>0</v>
      </c>
      <c r="D23" s="113">
        <f t="shared" si="0"/>
        <v>48650000</v>
      </c>
      <c r="E23" s="19" t="s">
        <v>4152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4151</v>
      </c>
      <c r="B24" s="18">
        <v>-3005900</v>
      </c>
      <c r="C24" s="18">
        <v>0</v>
      </c>
      <c r="D24" s="113">
        <f t="shared" si="0"/>
        <v>-3005900</v>
      </c>
      <c r="E24" s="19" t="s">
        <v>4154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4156</v>
      </c>
      <c r="B25" s="18">
        <v>-33500000</v>
      </c>
      <c r="C25" s="18">
        <v>0</v>
      </c>
      <c r="D25" s="113">
        <f t="shared" si="0"/>
        <v>-33500000</v>
      </c>
      <c r="E25" s="19" t="s">
        <v>3770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4156</v>
      </c>
      <c r="B26" s="18">
        <v>-12435000</v>
      </c>
      <c r="C26" s="18">
        <v>0</v>
      </c>
      <c r="D26" s="113">
        <f t="shared" si="0"/>
        <v>-12435000</v>
      </c>
      <c r="E26" s="19" t="s">
        <v>3770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8" t="s">
        <v>4169</v>
      </c>
      <c r="B27" s="18">
        <v>-18500</v>
      </c>
      <c r="C27" s="18">
        <v>0</v>
      </c>
      <c r="D27" s="18">
        <f t="shared" ref="D27" si="4">B27-C27</f>
        <v>-18500</v>
      </c>
      <c r="E27" s="168" t="s">
        <v>4170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4166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4041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4049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4083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4085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1216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4094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4096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4097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4108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4108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4116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4124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4119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4120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4123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4126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4127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4128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4129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4131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4132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4143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4144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4147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4148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4158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4159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4160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4161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4163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4167</v>
      </c>
      <c r="F82" s="96"/>
      <c r="G82" s="96"/>
      <c r="H82" s="96"/>
      <c r="I82" s="96"/>
    </row>
    <row r="83" spans="1:9">
      <c r="D83" s="114">
        <v>-150000</v>
      </c>
      <c r="E83" s="41" t="s">
        <v>4168</v>
      </c>
    </row>
    <row r="84" spans="1:9">
      <c r="D84" s="114">
        <v>-150000</v>
      </c>
      <c r="E84" s="41" t="s">
        <v>1217</v>
      </c>
    </row>
    <row r="85" spans="1:9">
      <c r="D85" s="114">
        <v>43500</v>
      </c>
      <c r="E85" s="41" t="s">
        <v>4171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4166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8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4172</v>
      </c>
      <c r="B3" s="18">
        <v>830000</v>
      </c>
      <c r="C3" s="18">
        <v>0</v>
      </c>
      <c r="D3" s="117">
        <f t="shared" ref="D3:D26" si="0">B3-C3</f>
        <v>830000</v>
      </c>
      <c r="E3" s="20" t="s">
        <v>4174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4189</v>
      </c>
      <c r="B4" s="18">
        <v>-52440</v>
      </c>
      <c r="C4" s="18">
        <v>0</v>
      </c>
      <c r="D4" s="113">
        <f t="shared" si="0"/>
        <v>-52440</v>
      </c>
      <c r="E4" s="99" t="s">
        <v>4191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4192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4193</v>
      </c>
      <c r="B6" s="18">
        <v>-200000</v>
      </c>
      <c r="C6" s="18">
        <v>0</v>
      </c>
      <c r="D6" s="113">
        <f t="shared" si="0"/>
        <v>-200000</v>
      </c>
      <c r="E6" s="19" t="s">
        <v>4194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4195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4196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4196</v>
      </c>
      <c r="B9" s="18">
        <v>-30000</v>
      </c>
      <c r="C9" s="18">
        <v>0</v>
      </c>
      <c r="D9" s="113">
        <f t="shared" si="0"/>
        <v>-30000</v>
      </c>
      <c r="E9" s="21" t="s">
        <v>4197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-178000</v>
      </c>
      <c r="C10" s="18">
        <v>0</v>
      </c>
      <c r="D10" s="113">
        <f t="shared" si="0"/>
        <v>-178000</v>
      </c>
      <c r="E10" s="19" t="s">
        <v>4200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4201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4165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4205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4210</v>
      </c>
      <c r="B14" s="18">
        <v>1548000</v>
      </c>
      <c r="C14" s="18">
        <v>0</v>
      </c>
      <c r="D14" s="113">
        <f t="shared" si="0"/>
        <v>1548000</v>
      </c>
      <c r="E14" s="20" t="s">
        <v>4246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4241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4247</v>
      </c>
      <c r="B16" s="18">
        <v>-5000</v>
      </c>
      <c r="C16" s="18">
        <v>-2500</v>
      </c>
      <c r="D16" s="113">
        <f t="shared" si="0"/>
        <v>-2500</v>
      </c>
      <c r="E16" s="20" t="s">
        <v>4248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4258</v>
      </c>
      <c r="B17" s="18">
        <v>-190000</v>
      </c>
      <c r="C17" s="18">
        <v>0</v>
      </c>
      <c r="D17" s="113">
        <f t="shared" si="0"/>
        <v>-190000</v>
      </c>
      <c r="E17" s="20" t="s">
        <v>4259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4286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4130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4130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4133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4133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8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4175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4177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4178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4198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4202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4204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4204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4206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4208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4239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4244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4245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4256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4257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4261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4262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4263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4264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4265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4266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4268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4270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4271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4272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4282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4284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4285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4287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4286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8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4305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3891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4310</v>
      </c>
      <c r="B4" s="18">
        <v>-3200000</v>
      </c>
      <c r="C4" s="18">
        <v>0</v>
      </c>
      <c r="D4" s="113">
        <f t="shared" si="0"/>
        <v>-3200000</v>
      </c>
      <c r="E4" s="99" t="s">
        <v>4319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4310</v>
      </c>
      <c r="B5" s="18">
        <v>2400000</v>
      </c>
      <c r="C5" s="18">
        <v>0</v>
      </c>
      <c r="D5" s="113">
        <f t="shared" si="0"/>
        <v>2400000</v>
      </c>
      <c r="E5" s="20" t="s">
        <v>4321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4329</v>
      </c>
      <c r="B6" s="18">
        <v>-2000700</v>
      </c>
      <c r="C6" s="18">
        <v>0</v>
      </c>
      <c r="D6" s="113">
        <f t="shared" si="0"/>
        <v>-2000700</v>
      </c>
      <c r="E6" s="19" t="s">
        <v>4330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4329</v>
      </c>
      <c r="B7" s="18">
        <v>-200000</v>
      </c>
      <c r="C7" s="18">
        <v>0</v>
      </c>
      <c r="D7" s="113">
        <f t="shared" si="0"/>
        <v>-200000</v>
      </c>
      <c r="E7" s="19" t="s">
        <v>4331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4329</v>
      </c>
      <c r="B8" s="18">
        <v>-1900000</v>
      </c>
      <c r="C8" s="18">
        <v>0</v>
      </c>
      <c r="D8" s="113">
        <f t="shared" si="0"/>
        <v>-1900000</v>
      </c>
      <c r="E8" s="19" t="s">
        <v>4332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4335</v>
      </c>
      <c r="B9" s="18">
        <v>-50000</v>
      </c>
      <c r="C9" s="18">
        <v>0</v>
      </c>
      <c r="D9" s="113">
        <f t="shared" si="0"/>
        <v>-50000</v>
      </c>
      <c r="E9" s="21" t="s">
        <v>4336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4347</v>
      </c>
      <c r="B10" s="18">
        <v>9700000</v>
      </c>
      <c r="C10" s="18">
        <v>0</v>
      </c>
      <c r="D10" s="113">
        <f t="shared" si="0"/>
        <v>9700000</v>
      </c>
      <c r="E10" s="19" t="s">
        <v>3891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4347</v>
      </c>
      <c r="B11" s="18">
        <v>-3000900</v>
      </c>
      <c r="C11" s="18">
        <v>0</v>
      </c>
      <c r="D11" s="113">
        <f t="shared" si="0"/>
        <v>-3000900</v>
      </c>
      <c r="E11" s="19" t="s">
        <v>4355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4348</v>
      </c>
      <c r="B12" s="18">
        <v>-3000900</v>
      </c>
      <c r="C12" s="18">
        <v>0</v>
      </c>
      <c r="D12" s="113">
        <f t="shared" si="0"/>
        <v>-3000900</v>
      </c>
      <c r="E12" s="20" t="s">
        <v>4355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4348</v>
      </c>
      <c r="B13" s="18">
        <v>-555000</v>
      </c>
      <c r="C13" s="18">
        <v>0</v>
      </c>
      <c r="D13" s="113">
        <f t="shared" si="0"/>
        <v>-555000</v>
      </c>
      <c r="E13" s="20" t="s">
        <v>4259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4367</v>
      </c>
      <c r="B14" s="18">
        <v>-138360</v>
      </c>
      <c r="C14" s="18">
        <v>0</v>
      </c>
      <c r="D14" s="113">
        <f t="shared" si="0"/>
        <v>-138360</v>
      </c>
      <c r="E14" s="20" t="s">
        <v>4368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4370</v>
      </c>
      <c r="B15" s="18">
        <v>-3000900</v>
      </c>
      <c r="C15" s="18">
        <v>0</v>
      </c>
      <c r="D15" s="117">
        <f t="shared" si="0"/>
        <v>-3000900</v>
      </c>
      <c r="E15" s="20" t="s">
        <v>4355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4376</v>
      </c>
      <c r="B16" s="18">
        <v>-55000</v>
      </c>
      <c r="C16" s="18">
        <v>0</v>
      </c>
      <c r="D16" s="113">
        <f t="shared" si="0"/>
        <v>-55000</v>
      </c>
      <c r="E16" s="20" t="s">
        <v>4153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4393</v>
      </c>
      <c r="B17" s="18">
        <v>6035000</v>
      </c>
      <c r="C17" s="18">
        <v>0</v>
      </c>
      <c r="D17" s="113">
        <f t="shared" si="0"/>
        <v>6035000</v>
      </c>
      <c r="E17" s="20" t="s">
        <v>3891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4404</v>
      </c>
      <c r="B18" s="18">
        <v>-4098523</v>
      </c>
      <c r="C18" s="18">
        <v>0</v>
      </c>
      <c r="D18" s="113">
        <f t="shared" si="0"/>
        <v>-4098523</v>
      </c>
      <c r="E18" s="20" t="s">
        <v>4403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4404</v>
      </c>
      <c r="B19" s="18">
        <v>-33225</v>
      </c>
      <c r="C19" s="18">
        <v>0</v>
      </c>
      <c r="D19" s="113">
        <f t="shared" si="0"/>
        <v>-33225</v>
      </c>
      <c r="E19" s="20" t="s">
        <v>4259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4404</v>
      </c>
      <c r="B20" s="18">
        <v>-1895000</v>
      </c>
      <c r="C20" s="18">
        <v>0</v>
      </c>
      <c r="D20" s="113">
        <f t="shared" si="0"/>
        <v>-1895000</v>
      </c>
      <c r="E20" s="19" t="s">
        <v>3770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4400</v>
      </c>
      <c r="B21" s="18">
        <v>-7500</v>
      </c>
      <c r="C21" s="18">
        <v>0</v>
      </c>
      <c r="D21" s="113">
        <f t="shared" si="0"/>
        <v>-7500</v>
      </c>
      <c r="E21" s="19" t="s">
        <v>4401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4436</v>
      </c>
      <c r="B22" s="18">
        <v>7964</v>
      </c>
      <c r="C22" s="18">
        <v>65497</v>
      </c>
      <c r="D22" s="113">
        <f t="shared" si="0"/>
        <v>-57533</v>
      </c>
      <c r="E22" s="19" t="s">
        <v>4437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8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4289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4288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4290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4291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4294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4297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4298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4302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4303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4304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4306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4307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4308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4311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4318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4322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4337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4334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4333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4338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4341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4344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4351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4352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4353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4354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4351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4356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4361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4362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4366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4371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4373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4375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4377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4378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4379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4380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4382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4380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4384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4385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4386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4387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4388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4389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4392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4394</v>
      </c>
    </row>
    <row r="82" spans="4:5">
      <c r="D82" s="114">
        <v>-142143</v>
      </c>
      <c r="E82" s="54" t="s">
        <v>4398</v>
      </c>
    </row>
    <row r="83" spans="4:5">
      <c r="D83" s="114">
        <v>-128352</v>
      </c>
      <c r="E83" s="54" t="s">
        <v>4397</v>
      </c>
    </row>
    <row r="84" spans="4:5">
      <c r="D84" s="114">
        <v>-6035000</v>
      </c>
      <c r="E84" s="54" t="s">
        <v>4407</v>
      </c>
    </row>
    <row r="85" spans="4:5">
      <c r="D85" s="114">
        <v>-55957</v>
      </c>
      <c r="E85" s="54" t="s">
        <v>4406</v>
      </c>
    </row>
    <row r="86" spans="4:5">
      <c r="D86" s="114">
        <v>7500</v>
      </c>
      <c r="E86" s="54" t="s">
        <v>4405</v>
      </c>
    </row>
    <row r="87" spans="4:5">
      <c r="D87" s="114">
        <v>1700000</v>
      </c>
      <c r="E87" s="54" t="s">
        <v>4408</v>
      </c>
    </row>
    <row r="88" spans="4:5">
      <c r="D88" s="114">
        <v>129648</v>
      </c>
      <c r="E88" s="54" t="s">
        <v>4409</v>
      </c>
    </row>
    <row r="89" spans="4:5">
      <c r="D89" s="114">
        <v>1000000</v>
      </c>
      <c r="E89" s="54" t="s">
        <v>4412</v>
      </c>
    </row>
    <row r="90" spans="4:5">
      <c r="D90" s="114">
        <v>-53003</v>
      </c>
      <c r="E90" s="54" t="s">
        <v>4413</v>
      </c>
    </row>
    <row r="91" spans="4:5">
      <c r="D91" s="114">
        <v>-23690</v>
      </c>
      <c r="E91" s="54" t="s">
        <v>4413</v>
      </c>
    </row>
    <row r="92" spans="4:5">
      <c r="D92" s="114">
        <v>-216910</v>
      </c>
      <c r="E92" s="54" t="s">
        <v>4414</v>
      </c>
    </row>
    <row r="93" spans="4:5">
      <c r="D93" s="114">
        <v>-30304</v>
      </c>
      <c r="E93" s="54" t="s">
        <v>4418</v>
      </c>
    </row>
    <row r="94" spans="4:5">
      <c r="D94" s="114">
        <v>-10067</v>
      </c>
      <c r="E94" s="54" t="s">
        <v>4419</v>
      </c>
    </row>
    <row r="95" spans="4:5">
      <c r="D95" s="114">
        <v>-16248</v>
      </c>
      <c r="E95" s="54" t="s">
        <v>4421</v>
      </c>
    </row>
    <row r="96" spans="4:5">
      <c r="D96" s="114">
        <v>-87695</v>
      </c>
      <c r="E96" s="54" t="s">
        <v>4422</v>
      </c>
    </row>
    <row r="97" spans="4:7">
      <c r="D97" s="114">
        <v>-29231</v>
      </c>
      <c r="E97" s="54" t="s">
        <v>4423</v>
      </c>
    </row>
    <row r="98" spans="4:7">
      <c r="D98" s="114">
        <v>1000000</v>
      </c>
      <c r="E98" s="54" t="s">
        <v>4424</v>
      </c>
    </row>
    <row r="99" spans="4:7">
      <c r="D99" s="114">
        <v>-35250</v>
      </c>
      <c r="E99" s="54" t="s">
        <v>4425</v>
      </c>
    </row>
    <row r="100" spans="4:7">
      <c r="D100" s="114">
        <v>-57477</v>
      </c>
      <c r="E100" s="54" t="s">
        <v>4426</v>
      </c>
    </row>
    <row r="101" spans="4:7">
      <c r="D101" s="114">
        <v>-13565</v>
      </c>
      <c r="E101" s="54" t="s">
        <v>4427</v>
      </c>
    </row>
    <row r="102" spans="4:7">
      <c r="D102" s="114">
        <v>-9429</v>
      </c>
      <c r="E102" s="54" t="s">
        <v>4428</v>
      </c>
    </row>
    <row r="103" spans="4:7">
      <c r="D103" s="114">
        <v>-600000</v>
      </c>
      <c r="E103" s="54" t="s">
        <v>4429</v>
      </c>
    </row>
    <row r="104" spans="4:7">
      <c r="D104" s="114">
        <v>335</v>
      </c>
      <c r="E104" s="54" t="s">
        <v>4431</v>
      </c>
    </row>
    <row r="105" spans="4:7">
      <c r="D105" s="114">
        <v>31026</v>
      </c>
      <c r="E105" s="54" t="s">
        <v>4432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37" workbookViewId="0">
      <selection activeCell="C37" sqref="C37"/>
    </sheetView>
  </sheetViews>
  <sheetFormatPr defaultRowHeight="15"/>
  <cols>
    <col min="2" max="2" width="15.85546875" bestFit="1" customWidth="1"/>
    <col min="3" max="3" width="15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4430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8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4438</v>
      </c>
      <c r="B3" s="18">
        <v>2500000</v>
      </c>
      <c r="C3" s="18">
        <v>0</v>
      </c>
      <c r="D3" s="117">
        <f t="shared" ref="D3:D31" si="0">B3-C3</f>
        <v>2500000</v>
      </c>
      <c r="E3" s="20" t="s">
        <v>3891</v>
      </c>
      <c r="F3" s="96">
        <v>27</v>
      </c>
      <c r="G3" s="96">
        <f t="shared" ref="G3:G30" si="1">B3*F3</f>
        <v>67500000</v>
      </c>
      <c r="H3" s="96">
        <f t="shared" ref="H3:H30" si="2">C3*F3</f>
        <v>0</v>
      </c>
      <c r="I3" s="96">
        <f t="shared" ref="I3:I30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4440</v>
      </c>
      <c r="B4" s="18">
        <v>-2500000</v>
      </c>
      <c r="C4" s="18">
        <v>0</v>
      </c>
      <c r="D4" s="113">
        <f t="shared" si="0"/>
        <v>-2500000</v>
      </c>
      <c r="E4" s="99" t="s">
        <v>3770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4445</v>
      </c>
      <c r="B5" s="18">
        <v>1100000</v>
      </c>
      <c r="C5" s="18">
        <v>0</v>
      </c>
      <c r="D5" s="113">
        <f t="shared" si="0"/>
        <v>1100000</v>
      </c>
      <c r="E5" s="20" t="s">
        <v>4321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4447</v>
      </c>
      <c r="B6" s="18">
        <v>3000000</v>
      </c>
      <c r="C6" s="18">
        <v>0</v>
      </c>
      <c r="D6" s="113">
        <f t="shared" si="0"/>
        <v>3000000</v>
      </c>
      <c r="E6" s="19" t="s">
        <v>4448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4444</v>
      </c>
      <c r="B7" s="18">
        <v>-2000700</v>
      </c>
      <c r="C7" s="18">
        <v>0</v>
      </c>
      <c r="D7" s="113">
        <f t="shared" si="0"/>
        <v>-2000700</v>
      </c>
      <c r="E7" s="19" t="s">
        <v>4478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4444</v>
      </c>
      <c r="B8" s="18">
        <v>-40000</v>
      </c>
      <c r="C8" s="18">
        <v>0</v>
      </c>
      <c r="D8" s="113">
        <f t="shared" si="0"/>
        <v>-40000</v>
      </c>
      <c r="E8" s="19" t="s">
        <v>1134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4444</v>
      </c>
      <c r="B9" s="18">
        <v>-2000000</v>
      </c>
      <c r="C9" s="18">
        <v>0</v>
      </c>
      <c r="D9" s="113">
        <f t="shared" si="0"/>
        <v>-2000000</v>
      </c>
      <c r="E9" s="21" t="s">
        <v>3770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4444</v>
      </c>
      <c r="B10" s="18">
        <v>490000</v>
      </c>
      <c r="C10" s="18">
        <v>0</v>
      </c>
      <c r="D10" s="113">
        <f t="shared" si="0"/>
        <v>490000</v>
      </c>
      <c r="E10" s="19" t="s">
        <v>3891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4485</v>
      </c>
      <c r="B11" s="18">
        <v>1400000</v>
      </c>
      <c r="C11" s="18">
        <v>0</v>
      </c>
      <c r="D11" s="113">
        <f t="shared" si="0"/>
        <v>1400000</v>
      </c>
      <c r="E11" s="19" t="s">
        <v>3891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4485</v>
      </c>
      <c r="B12" s="18">
        <v>-1500000</v>
      </c>
      <c r="C12" s="18">
        <v>0</v>
      </c>
      <c r="D12" s="113">
        <f t="shared" si="0"/>
        <v>-1500000</v>
      </c>
      <c r="E12" s="20" t="s">
        <v>3770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4491</v>
      </c>
      <c r="B13" s="18">
        <v>-100000</v>
      </c>
      <c r="C13" s="18">
        <v>0</v>
      </c>
      <c r="D13" s="113">
        <f t="shared" si="0"/>
        <v>-100000</v>
      </c>
      <c r="E13" s="20" t="s">
        <v>3770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4232</v>
      </c>
      <c r="B14" s="18">
        <v>-13900</v>
      </c>
      <c r="C14" s="18">
        <v>0</v>
      </c>
      <c r="D14" s="113">
        <f t="shared" si="0"/>
        <v>-13900</v>
      </c>
      <c r="E14" s="20" t="s">
        <v>4014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4232</v>
      </c>
      <c r="B15" s="18">
        <v>300000</v>
      </c>
      <c r="C15" s="18">
        <v>0</v>
      </c>
      <c r="D15" s="117">
        <f t="shared" si="0"/>
        <v>300000</v>
      </c>
      <c r="E15" s="20" t="s">
        <v>3891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4499</v>
      </c>
      <c r="B16" s="18">
        <v>12000000</v>
      </c>
      <c r="C16" s="18">
        <v>0</v>
      </c>
      <c r="D16" s="113">
        <f t="shared" si="0"/>
        <v>12000000</v>
      </c>
      <c r="E16" s="20" t="s">
        <v>4500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4501</v>
      </c>
      <c r="B17" s="18">
        <v>3000000</v>
      </c>
      <c r="C17" s="18">
        <v>0</v>
      </c>
      <c r="D17" s="113">
        <f t="shared" si="0"/>
        <v>3000000</v>
      </c>
      <c r="E17" s="20" t="s">
        <v>3891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4503</v>
      </c>
      <c r="B18" s="18">
        <v>-14000000</v>
      </c>
      <c r="C18" s="18">
        <v>0</v>
      </c>
      <c r="D18" s="113">
        <f t="shared" si="0"/>
        <v>-14000000</v>
      </c>
      <c r="E18" s="20" t="s">
        <v>3770</v>
      </c>
      <c r="F18" s="96">
        <v>14</v>
      </c>
      <c r="G18" s="96">
        <f t="shared" si="1"/>
        <v>-196000000</v>
      </c>
      <c r="H18" s="96">
        <f t="shared" si="2"/>
        <v>0</v>
      </c>
      <c r="I18" s="96">
        <f t="shared" si="3"/>
        <v>-196000000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4505</v>
      </c>
      <c r="B19" s="18">
        <v>-124969</v>
      </c>
      <c r="C19" s="18">
        <v>0</v>
      </c>
      <c r="D19" s="113">
        <f t="shared" si="0"/>
        <v>-124969</v>
      </c>
      <c r="E19" s="20" t="s">
        <v>4014</v>
      </c>
      <c r="F19" s="96">
        <v>13</v>
      </c>
      <c r="G19" s="96">
        <f t="shared" si="1"/>
        <v>-1624597</v>
      </c>
      <c r="H19" s="96">
        <f t="shared" si="2"/>
        <v>0</v>
      </c>
      <c r="I19" s="96">
        <f t="shared" si="3"/>
        <v>-1624597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4505</v>
      </c>
      <c r="B20" s="18">
        <v>0</v>
      </c>
      <c r="C20" s="18">
        <v>-8034286</v>
      </c>
      <c r="D20" s="113">
        <f t="shared" si="0"/>
        <v>8034286</v>
      </c>
      <c r="E20" s="19" t="s">
        <v>4507</v>
      </c>
      <c r="F20" s="96">
        <v>13</v>
      </c>
      <c r="G20" s="96">
        <f t="shared" si="1"/>
        <v>0</v>
      </c>
      <c r="H20" s="96">
        <f t="shared" si="2"/>
        <v>-104445718</v>
      </c>
      <c r="I20" s="96">
        <f t="shared" si="3"/>
        <v>104445718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4505</v>
      </c>
      <c r="B21" s="18">
        <v>-10000</v>
      </c>
      <c r="C21" s="18">
        <v>0</v>
      </c>
      <c r="D21" s="113">
        <f t="shared" si="0"/>
        <v>-10000</v>
      </c>
      <c r="E21" s="19" t="s">
        <v>4508</v>
      </c>
      <c r="F21" s="96">
        <v>13</v>
      </c>
      <c r="G21" s="96">
        <f t="shared" si="1"/>
        <v>-130000</v>
      </c>
      <c r="H21" s="96">
        <f t="shared" si="2"/>
        <v>0</v>
      </c>
      <c r="I21" s="96">
        <f t="shared" si="3"/>
        <v>-130000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4509</v>
      </c>
      <c r="B22" s="18">
        <v>-1313000</v>
      </c>
      <c r="C22" s="18">
        <v>0</v>
      </c>
      <c r="D22" s="113">
        <f t="shared" si="0"/>
        <v>-1313000</v>
      </c>
      <c r="E22" s="19" t="s">
        <v>3770</v>
      </c>
      <c r="F22" s="96">
        <v>12</v>
      </c>
      <c r="G22" s="96">
        <f t="shared" si="1"/>
        <v>-15756000</v>
      </c>
      <c r="H22" s="96">
        <f t="shared" si="2"/>
        <v>0</v>
      </c>
      <c r="I22" s="96">
        <f t="shared" si="3"/>
        <v>-15756000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4515</v>
      </c>
      <c r="B23" s="18">
        <v>2000000</v>
      </c>
      <c r="C23" s="18">
        <v>0</v>
      </c>
      <c r="D23" s="113">
        <f t="shared" si="0"/>
        <v>2000000</v>
      </c>
      <c r="E23" s="19" t="s">
        <v>3891</v>
      </c>
      <c r="F23" s="96">
        <v>8</v>
      </c>
      <c r="G23" s="96">
        <f t="shared" si="1"/>
        <v>16000000</v>
      </c>
      <c r="H23" s="96">
        <f t="shared" si="2"/>
        <v>0</v>
      </c>
      <c r="I23" s="96">
        <f t="shared" si="3"/>
        <v>16000000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4516</v>
      </c>
      <c r="B24" s="18">
        <v>-1900000</v>
      </c>
      <c r="C24" s="18">
        <v>0</v>
      </c>
      <c r="D24" s="113">
        <f t="shared" si="0"/>
        <v>-1900000</v>
      </c>
      <c r="E24" s="19" t="s">
        <v>3770</v>
      </c>
      <c r="F24" s="96">
        <v>7</v>
      </c>
      <c r="G24" s="96">
        <f t="shared" si="1"/>
        <v>-13300000</v>
      </c>
      <c r="H24" s="96">
        <f t="shared" si="2"/>
        <v>0</v>
      </c>
      <c r="I24" s="96">
        <f t="shared" si="3"/>
        <v>-13300000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4516</v>
      </c>
      <c r="B25" s="18">
        <v>-100500</v>
      </c>
      <c r="C25" s="18">
        <v>0</v>
      </c>
      <c r="D25" s="113">
        <f t="shared" si="0"/>
        <v>-100500</v>
      </c>
      <c r="E25" s="19" t="s">
        <v>4518</v>
      </c>
      <c r="F25" s="96">
        <v>7</v>
      </c>
      <c r="G25" s="96">
        <f t="shared" si="1"/>
        <v>-703500</v>
      </c>
      <c r="H25" s="96">
        <f t="shared" si="2"/>
        <v>0</v>
      </c>
      <c r="I25" s="96">
        <f t="shared" si="3"/>
        <v>-703500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9" t="s">
        <v>4516</v>
      </c>
      <c r="B26" s="18">
        <v>-68670</v>
      </c>
      <c r="C26" s="18">
        <v>0</v>
      </c>
      <c r="D26" s="113">
        <f t="shared" si="0"/>
        <v>-68670</v>
      </c>
      <c r="E26" s="19" t="s">
        <v>4522</v>
      </c>
      <c r="F26" s="96">
        <v>7</v>
      </c>
      <c r="G26" s="96">
        <f t="shared" si="1"/>
        <v>-480690</v>
      </c>
      <c r="H26" s="96">
        <f t="shared" si="2"/>
        <v>0</v>
      </c>
      <c r="I26" s="96">
        <f t="shared" si="3"/>
        <v>-480690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9" t="s">
        <v>4519</v>
      </c>
      <c r="B27" s="18">
        <v>-118600</v>
      </c>
      <c r="C27" s="18">
        <v>0</v>
      </c>
      <c r="D27" s="113">
        <f t="shared" si="0"/>
        <v>-118600</v>
      </c>
      <c r="E27" s="19" t="s">
        <v>4524</v>
      </c>
      <c r="F27" s="96">
        <v>6</v>
      </c>
      <c r="G27" s="96">
        <f t="shared" si="1"/>
        <v>-711600</v>
      </c>
      <c r="H27" s="96">
        <f t="shared" si="2"/>
        <v>0</v>
      </c>
      <c r="I27" s="96">
        <f t="shared" si="3"/>
        <v>-711600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19" t="s">
        <v>4529</v>
      </c>
      <c r="B28" s="18">
        <v>6779000</v>
      </c>
      <c r="C28" s="18">
        <v>0</v>
      </c>
      <c r="D28" s="113">
        <f t="shared" si="0"/>
        <v>6779000</v>
      </c>
      <c r="E28" s="19" t="s">
        <v>3891</v>
      </c>
      <c r="F28" s="96">
        <v>3</v>
      </c>
      <c r="G28" s="96">
        <f t="shared" si="1"/>
        <v>20337000</v>
      </c>
      <c r="H28" s="96">
        <f t="shared" si="2"/>
        <v>0</v>
      </c>
      <c r="I28" s="96">
        <f t="shared" si="3"/>
        <v>20337000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19" t="s">
        <v>4529</v>
      </c>
      <c r="B29" s="18">
        <v>-6400000</v>
      </c>
      <c r="C29" s="18">
        <v>0</v>
      </c>
      <c r="D29" s="113">
        <f t="shared" si="0"/>
        <v>-6400000</v>
      </c>
      <c r="E29" s="19" t="s">
        <v>3770</v>
      </c>
      <c r="F29" s="96">
        <v>3</v>
      </c>
      <c r="G29" s="96">
        <f t="shared" si="1"/>
        <v>-19200000</v>
      </c>
      <c r="H29" s="96">
        <f t="shared" si="2"/>
        <v>0</v>
      </c>
      <c r="I29" s="96">
        <f t="shared" si="3"/>
        <v>-19200000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19" t="s">
        <v>4529</v>
      </c>
      <c r="B30" s="18">
        <v>-389000</v>
      </c>
      <c r="C30" s="18">
        <v>0</v>
      </c>
      <c r="D30" s="113">
        <f t="shared" si="0"/>
        <v>-389000</v>
      </c>
      <c r="E30" s="19" t="s">
        <v>4531</v>
      </c>
      <c r="F30" s="96">
        <v>3</v>
      </c>
      <c r="G30" s="96">
        <f t="shared" si="1"/>
        <v>-1167000</v>
      </c>
      <c r="H30" s="96">
        <f t="shared" si="2"/>
        <v>0</v>
      </c>
      <c r="I30" s="96">
        <f t="shared" si="3"/>
        <v>-1167000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168" t="s">
        <v>4169</v>
      </c>
      <c r="B31" s="168"/>
      <c r="C31" s="168">
        <v>0</v>
      </c>
      <c r="D31" s="168">
        <f t="shared" si="0"/>
        <v>0</v>
      </c>
      <c r="E31" s="168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168" t="s">
        <v>6</v>
      </c>
      <c r="B32" s="113">
        <f>SUM(B2:B31)</f>
        <v>5755</v>
      </c>
      <c r="C32" s="113">
        <f>SUM(C2:C31)</f>
        <v>0</v>
      </c>
      <c r="D32" s="113">
        <f>SUM(D2:D31)</f>
        <v>5755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/>
      <c r="G33" s="18">
        <f>SUM(G2:G31)</f>
        <v>29541533</v>
      </c>
      <c r="H33" s="18">
        <f>SUM(H2:H31)</f>
        <v>136582862</v>
      </c>
      <c r="I33" s="18">
        <f>SUM(I2:I31)</f>
        <v>-107041329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 t="s">
        <v>25</v>
      </c>
      <c r="D37" s="41"/>
      <c r="E37" s="41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0</v>
      </c>
      <c r="E38" s="41" t="s">
        <v>4475</v>
      </c>
      <c r="F38" s="96"/>
      <c r="G38" s="18">
        <v>600</v>
      </c>
      <c r="H38" s="18">
        <f>G38*H33/G33</f>
        <v>2774.0509336465375</v>
      </c>
      <c r="I38" s="18">
        <f>G38*I33/G33</f>
        <v>-2174.0509336465375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ht="30">
      <c r="A39" s="96"/>
      <c r="B39" s="96"/>
      <c r="C39" s="96"/>
      <c r="D39" s="114">
        <v>1000000</v>
      </c>
      <c r="E39" s="54" t="s">
        <v>4479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114"/>
      <c r="C40" s="96"/>
      <c r="D40" s="114">
        <v>189200</v>
      </c>
      <c r="E40" s="54" t="s">
        <v>4481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40000</v>
      </c>
      <c r="E41" s="54" t="s">
        <v>4480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-490000</v>
      </c>
      <c r="E42" s="54" t="s">
        <v>4484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-597051</v>
      </c>
      <c r="E43" s="54" t="s">
        <v>4493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13900</v>
      </c>
      <c r="E44" s="54" t="s">
        <v>4494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2000000</v>
      </c>
      <c r="E45" s="54" t="s">
        <v>4495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-300000</v>
      </c>
      <c r="E46" s="54" t="s">
        <v>4496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ht="30">
      <c r="A47" s="96"/>
      <c r="B47" s="96"/>
      <c r="C47" s="96"/>
      <c r="D47" s="114">
        <v>300000</v>
      </c>
      <c r="E47" s="54" t="s">
        <v>4502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124969</v>
      </c>
      <c r="E48" s="54" t="s">
        <v>4014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12661</v>
      </c>
      <c r="E49" s="54" t="s">
        <v>4511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-55000</v>
      </c>
      <c r="E50" s="54" t="s">
        <v>4514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100500</v>
      </c>
      <c r="E51" s="54" t="s">
        <v>4518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68670</v>
      </c>
      <c r="E52" s="54" t="s">
        <v>4523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111500</v>
      </c>
      <c r="E53" s="54" t="s">
        <v>61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ht="30">
      <c r="A54" s="96"/>
      <c r="B54" s="96"/>
      <c r="C54" s="96"/>
      <c r="D54" s="114">
        <v>1000</v>
      </c>
      <c r="E54" s="54" t="s">
        <v>4530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389000</v>
      </c>
      <c r="E55" s="54" t="s">
        <v>4036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96"/>
      <c r="E56" s="54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f>SUM(D38:D56)</f>
        <v>2909349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/>
      <c r="E58" s="41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96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96"/>
      <c r="E63" s="96" t="s">
        <v>25</v>
      </c>
      <c r="F63" s="96"/>
      <c r="G63" s="96" t="s">
        <v>25</v>
      </c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 t="s">
        <v>25</v>
      </c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96"/>
      <c r="G69" s="96"/>
      <c r="H69" s="96" t="s">
        <v>25</v>
      </c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114"/>
      <c r="G73" s="54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114"/>
      <c r="G74" s="54" t="s">
        <v>25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114"/>
      <c r="G75" s="54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114"/>
      <c r="G76" s="54" t="s">
        <v>25</v>
      </c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 t="s">
        <v>25</v>
      </c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 t="s">
        <v>25</v>
      </c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  <row r="115" spans="1:20">
      <c r="A115" s="96"/>
      <c r="B115" s="96"/>
      <c r="C115" s="96"/>
      <c r="F115" s="96"/>
      <c r="G115" s="96"/>
      <c r="H115" s="96"/>
      <c r="I115" s="96"/>
    </row>
    <row r="116" spans="1:20">
      <c r="A116" s="96"/>
      <c r="B116" s="96"/>
      <c r="C116" s="96"/>
      <c r="F116" s="96"/>
      <c r="G116" s="96"/>
      <c r="H116" s="96"/>
      <c r="I116" s="96"/>
    </row>
    <row r="117" spans="1:20">
      <c r="A117" s="96"/>
      <c r="B117" s="96"/>
      <c r="C117" s="96"/>
      <c r="F117" s="96"/>
      <c r="G117" s="96"/>
      <c r="H117" s="96"/>
      <c r="I117" s="96"/>
    </row>
    <row r="118" spans="1:20">
      <c r="A118" s="96"/>
      <c r="B118" s="96"/>
      <c r="C118" s="96"/>
      <c r="F118" s="96"/>
      <c r="G118" s="96"/>
      <c r="H118" s="96"/>
      <c r="I118" s="96"/>
    </row>
    <row r="119" spans="1:20">
      <c r="A119" s="96"/>
      <c r="B119" s="96"/>
      <c r="C119" s="96"/>
      <c r="F119" s="96"/>
      <c r="G119" s="96"/>
      <c r="H119" s="96"/>
      <c r="I119" s="96"/>
    </row>
  </sheetData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37" workbookViewId="0">
      <selection activeCell="B45" sqref="B45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43.5703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4436</v>
      </c>
      <c r="B2" s="113">
        <f>'آذر 97'!B32</f>
        <v>5755</v>
      </c>
      <c r="C2" s="1">
        <f>'آذر 97'!C32</f>
        <v>0</v>
      </c>
      <c r="D2" s="113">
        <f>B2-C2</f>
        <v>5755</v>
      </c>
      <c r="E2" s="168" t="s">
        <v>59</v>
      </c>
      <c r="F2" s="96">
        <v>30</v>
      </c>
      <c r="G2" s="96">
        <f>B2*F2</f>
        <v>172650</v>
      </c>
      <c r="H2" s="96">
        <f>C2*F2</f>
        <v>0</v>
      </c>
      <c r="I2" s="96">
        <f>D2*F2</f>
        <v>172650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4556</v>
      </c>
      <c r="B3" s="18">
        <v>220000</v>
      </c>
      <c r="C3" s="18">
        <v>0</v>
      </c>
      <c r="D3" s="113">
        <f t="shared" ref="D3:D30" si="0">B3-C3</f>
        <v>220000</v>
      </c>
      <c r="E3" s="20" t="s">
        <v>3891</v>
      </c>
      <c r="F3" s="96">
        <v>29</v>
      </c>
      <c r="G3" s="96">
        <f t="shared" ref="G3:G30" si="1">B3*F3</f>
        <v>6380000</v>
      </c>
      <c r="H3" s="96">
        <f t="shared" ref="H3:H30" si="2">C3*F3</f>
        <v>0</v>
      </c>
      <c r="I3" s="96">
        <f t="shared" ref="I3:I30" si="3">D3*F3</f>
        <v>6380000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4556</v>
      </c>
      <c r="B4" s="18">
        <v>-109390</v>
      </c>
      <c r="C4" s="18">
        <v>0</v>
      </c>
      <c r="D4" s="113">
        <f t="shared" si="0"/>
        <v>-109390</v>
      </c>
      <c r="E4" s="99" t="s">
        <v>452</v>
      </c>
      <c r="F4" s="96">
        <v>29</v>
      </c>
      <c r="G4" s="96">
        <f t="shared" si="1"/>
        <v>-3172310</v>
      </c>
      <c r="H4" s="96">
        <f t="shared" si="2"/>
        <v>0</v>
      </c>
      <c r="I4" s="96">
        <f t="shared" si="3"/>
        <v>-3172310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4560</v>
      </c>
      <c r="B5" s="18">
        <v>100000</v>
      </c>
      <c r="C5" s="18">
        <v>0</v>
      </c>
      <c r="D5" s="113">
        <f t="shared" si="0"/>
        <v>100000</v>
      </c>
      <c r="E5" s="20" t="s">
        <v>3891</v>
      </c>
      <c r="F5" s="96">
        <v>27</v>
      </c>
      <c r="G5" s="96">
        <f t="shared" si="1"/>
        <v>2700000</v>
      </c>
      <c r="H5" s="96">
        <f t="shared" si="2"/>
        <v>0</v>
      </c>
      <c r="I5" s="96">
        <f t="shared" si="3"/>
        <v>2700000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4560</v>
      </c>
      <c r="B6" s="18">
        <v>2600000</v>
      </c>
      <c r="C6" s="18">
        <v>0</v>
      </c>
      <c r="D6" s="113">
        <f t="shared" si="0"/>
        <v>2600000</v>
      </c>
      <c r="E6" s="19" t="s">
        <v>3891</v>
      </c>
      <c r="F6" s="96">
        <v>27</v>
      </c>
      <c r="G6" s="96">
        <f t="shared" si="1"/>
        <v>70200000</v>
      </c>
      <c r="H6" s="96">
        <f t="shared" si="2"/>
        <v>0</v>
      </c>
      <c r="I6" s="96">
        <f t="shared" si="3"/>
        <v>70200000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4563</v>
      </c>
      <c r="B7" s="18">
        <v>4400000</v>
      </c>
      <c r="C7" s="18">
        <v>0</v>
      </c>
      <c r="D7" s="113">
        <f t="shared" si="0"/>
        <v>4400000</v>
      </c>
      <c r="E7" s="19" t="s">
        <v>3891</v>
      </c>
      <c r="F7" s="96">
        <v>26</v>
      </c>
      <c r="G7" s="96">
        <f t="shared" si="1"/>
        <v>114400000</v>
      </c>
      <c r="H7" s="96">
        <f t="shared" si="2"/>
        <v>0</v>
      </c>
      <c r="I7" s="96">
        <f t="shared" si="3"/>
        <v>114400000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4563</v>
      </c>
      <c r="B8" s="18">
        <v>-95000</v>
      </c>
      <c r="C8" s="18">
        <v>0</v>
      </c>
      <c r="D8" s="113">
        <f t="shared" si="0"/>
        <v>-95000</v>
      </c>
      <c r="E8" s="19" t="s">
        <v>1134</v>
      </c>
      <c r="F8" s="96">
        <v>27</v>
      </c>
      <c r="G8" s="96">
        <f t="shared" si="1"/>
        <v>-2565000</v>
      </c>
      <c r="H8" s="96">
        <f t="shared" si="2"/>
        <v>0</v>
      </c>
      <c r="I8" s="96">
        <f t="shared" si="3"/>
        <v>-2565000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4568</v>
      </c>
      <c r="B9" s="18">
        <v>3000000</v>
      </c>
      <c r="C9" s="18">
        <v>0</v>
      </c>
      <c r="D9" s="113">
        <f t="shared" si="0"/>
        <v>3000000</v>
      </c>
      <c r="E9" s="21" t="s">
        <v>3891</v>
      </c>
      <c r="F9" s="96">
        <v>25</v>
      </c>
      <c r="G9" s="96">
        <f t="shared" si="1"/>
        <v>75000000</v>
      </c>
      <c r="H9" s="96">
        <f t="shared" si="2"/>
        <v>0</v>
      </c>
      <c r="I9" s="96">
        <f t="shared" si="3"/>
        <v>75000000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4571</v>
      </c>
      <c r="B10" s="18">
        <v>2500000</v>
      </c>
      <c r="C10" s="18">
        <v>0</v>
      </c>
      <c r="D10" s="113">
        <f t="shared" si="0"/>
        <v>2500000</v>
      </c>
      <c r="E10" s="19" t="s">
        <v>3891</v>
      </c>
      <c r="F10" s="96">
        <v>24</v>
      </c>
      <c r="G10" s="96">
        <f t="shared" si="1"/>
        <v>60000000</v>
      </c>
      <c r="H10" s="96">
        <f t="shared" si="2"/>
        <v>0</v>
      </c>
      <c r="I10" s="96">
        <f t="shared" si="3"/>
        <v>60000000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4571</v>
      </c>
      <c r="B11" s="18">
        <v>-1287000</v>
      </c>
      <c r="C11" s="18">
        <v>0</v>
      </c>
      <c r="D11" s="113">
        <f t="shared" si="0"/>
        <v>-1287000</v>
      </c>
      <c r="E11" s="19" t="s">
        <v>4572</v>
      </c>
      <c r="F11" s="96">
        <v>24</v>
      </c>
      <c r="G11" s="96">
        <f t="shared" si="1"/>
        <v>-30888000</v>
      </c>
      <c r="H11" s="96">
        <f t="shared" si="2"/>
        <v>0</v>
      </c>
      <c r="I11" s="96">
        <f t="shared" si="3"/>
        <v>-30888000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4568</v>
      </c>
      <c r="B12" s="18">
        <v>-3900000</v>
      </c>
      <c r="C12" s="18">
        <v>0</v>
      </c>
      <c r="D12" s="113">
        <f t="shared" si="0"/>
        <v>-3900000</v>
      </c>
      <c r="E12" s="20" t="s">
        <v>3770</v>
      </c>
      <c r="F12" s="96">
        <v>26</v>
      </c>
      <c r="G12" s="96">
        <f t="shared" si="1"/>
        <v>-101400000</v>
      </c>
      <c r="H12" s="96">
        <f t="shared" si="2"/>
        <v>0</v>
      </c>
      <c r="I12" s="96">
        <f t="shared" si="3"/>
        <v>-101400000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4569</v>
      </c>
      <c r="B13" s="18">
        <v>3800000</v>
      </c>
      <c r="C13" s="18">
        <v>0</v>
      </c>
      <c r="D13" s="113">
        <f t="shared" si="0"/>
        <v>3800000</v>
      </c>
      <c r="E13" s="20" t="s">
        <v>3891</v>
      </c>
      <c r="F13" s="96">
        <v>22</v>
      </c>
      <c r="G13" s="96">
        <f>B13*F13</f>
        <v>83600000</v>
      </c>
      <c r="H13" s="96">
        <f t="shared" si="2"/>
        <v>0</v>
      </c>
      <c r="I13" s="96">
        <f t="shared" si="3"/>
        <v>83600000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4581</v>
      </c>
      <c r="B14" s="18">
        <v>21000000</v>
      </c>
      <c r="C14" s="18">
        <v>0</v>
      </c>
      <c r="D14" s="113">
        <f t="shared" si="0"/>
        <v>21000000</v>
      </c>
      <c r="E14" s="20" t="s">
        <v>3891</v>
      </c>
      <c r="F14" s="96">
        <v>21</v>
      </c>
      <c r="G14" s="96">
        <f t="shared" si="1"/>
        <v>441000000</v>
      </c>
      <c r="H14" s="96">
        <f t="shared" si="2"/>
        <v>0</v>
      </c>
      <c r="I14" s="96">
        <f t="shared" si="3"/>
        <v>441000000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994</v>
      </c>
      <c r="B15" s="18">
        <v>3000000</v>
      </c>
      <c r="C15" s="18">
        <v>0</v>
      </c>
      <c r="D15" s="113">
        <f t="shared" si="0"/>
        <v>3000000</v>
      </c>
      <c r="E15" s="20" t="s">
        <v>3891</v>
      </c>
      <c r="F15" s="96">
        <v>20</v>
      </c>
      <c r="G15" s="96">
        <f t="shared" si="1"/>
        <v>60000000</v>
      </c>
      <c r="H15" s="96">
        <f t="shared" si="2"/>
        <v>0</v>
      </c>
      <c r="I15" s="96">
        <f t="shared" si="3"/>
        <v>60000000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994</v>
      </c>
      <c r="B16" s="18">
        <v>2000000</v>
      </c>
      <c r="C16" s="18">
        <v>0</v>
      </c>
      <c r="D16" s="113">
        <f t="shared" si="0"/>
        <v>2000000</v>
      </c>
      <c r="E16" s="20" t="s">
        <v>3891</v>
      </c>
      <c r="F16" s="96">
        <v>20</v>
      </c>
      <c r="G16" s="96">
        <f t="shared" si="1"/>
        <v>40000000</v>
      </c>
      <c r="H16" s="96">
        <f t="shared" si="2"/>
        <v>0</v>
      </c>
      <c r="I16" s="96">
        <f t="shared" si="3"/>
        <v>40000000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4585</v>
      </c>
      <c r="B17" s="18">
        <v>-2000000</v>
      </c>
      <c r="C17" s="18">
        <v>0</v>
      </c>
      <c r="D17" s="113">
        <f t="shared" si="0"/>
        <v>-2000000</v>
      </c>
      <c r="E17" s="20" t="s">
        <v>3770</v>
      </c>
      <c r="F17" s="96">
        <v>20</v>
      </c>
      <c r="G17" s="96">
        <f t="shared" si="1"/>
        <v>-40000000</v>
      </c>
      <c r="H17" s="96">
        <f t="shared" si="2"/>
        <v>0</v>
      </c>
      <c r="I17" s="96">
        <f t="shared" si="3"/>
        <v>-40000000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4586</v>
      </c>
      <c r="B18" s="18">
        <v>-10000000</v>
      </c>
      <c r="C18" s="18">
        <v>0</v>
      </c>
      <c r="D18" s="113">
        <f t="shared" si="0"/>
        <v>-10000000</v>
      </c>
      <c r="E18" s="20" t="s">
        <v>3770</v>
      </c>
      <c r="F18" s="96">
        <v>19</v>
      </c>
      <c r="G18" s="96">
        <f t="shared" si="1"/>
        <v>-190000000</v>
      </c>
      <c r="H18" s="96">
        <f t="shared" si="2"/>
        <v>0</v>
      </c>
      <c r="I18" s="96">
        <f t="shared" si="3"/>
        <v>-190000000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4588</v>
      </c>
      <c r="B19" s="18">
        <v>-16700000</v>
      </c>
      <c r="C19" s="18">
        <v>0</v>
      </c>
      <c r="D19" s="113">
        <f t="shared" si="0"/>
        <v>-16700000</v>
      </c>
      <c r="E19" s="20" t="s">
        <v>3770</v>
      </c>
      <c r="F19" s="96">
        <v>15</v>
      </c>
      <c r="G19" s="96">
        <f t="shared" si="1"/>
        <v>-250500000</v>
      </c>
      <c r="H19" s="96">
        <f t="shared" si="2"/>
        <v>0</v>
      </c>
      <c r="I19" s="96">
        <f t="shared" si="3"/>
        <v>-250500000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4598</v>
      </c>
      <c r="B20" s="18">
        <v>12000000</v>
      </c>
      <c r="C20" s="18">
        <v>0</v>
      </c>
      <c r="D20" s="113">
        <f t="shared" si="0"/>
        <v>12000000</v>
      </c>
      <c r="E20" s="19" t="s">
        <v>3891</v>
      </c>
      <c r="F20" s="96">
        <v>12</v>
      </c>
      <c r="G20" s="96">
        <f t="shared" si="1"/>
        <v>144000000</v>
      </c>
      <c r="H20" s="96">
        <f t="shared" si="2"/>
        <v>0</v>
      </c>
      <c r="I20" s="96">
        <f t="shared" si="3"/>
        <v>144000000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4602</v>
      </c>
      <c r="B21" s="18">
        <v>1900000</v>
      </c>
      <c r="C21" s="18">
        <v>0</v>
      </c>
      <c r="D21" s="113">
        <f t="shared" si="0"/>
        <v>1900000</v>
      </c>
      <c r="E21" s="19" t="s">
        <v>3891</v>
      </c>
      <c r="F21" s="96">
        <v>11</v>
      </c>
      <c r="G21" s="96">
        <f t="shared" si="1"/>
        <v>20900000</v>
      </c>
      <c r="H21" s="96">
        <f t="shared" si="2"/>
        <v>0</v>
      </c>
      <c r="I21" s="96">
        <f t="shared" si="3"/>
        <v>20900000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4509</v>
      </c>
      <c r="B22" s="18">
        <v>-3995000</v>
      </c>
      <c r="C22" s="18">
        <v>0</v>
      </c>
      <c r="D22" s="113">
        <f t="shared" si="0"/>
        <v>-3995000</v>
      </c>
      <c r="E22" s="19" t="s">
        <v>4604</v>
      </c>
      <c r="F22" s="96">
        <v>12</v>
      </c>
      <c r="G22" s="96">
        <f t="shared" si="1"/>
        <v>-47940000</v>
      </c>
      <c r="H22" s="96">
        <f t="shared" si="2"/>
        <v>0</v>
      </c>
      <c r="I22" s="96">
        <f t="shared" si="3"/>
        <v>-47940000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4515</v>
      </c>
      <c r="B23" s="18">
        <v>-2010700</v>
      </c>
      <c r="C23" s="18">
        <v>0</v>
      </c>
      <c r="D23" s="113">
        <f t="shared" si="0"/>
        <v>-2010700</v>
      </c>
      <c r="E23" s="19" t="s">
        <v>4615</v>
      </c>
      <c r="F23" s="96">
        <v>9</v>
      </c>
      <c r="G23" s="96">
        <f t="shared" si="1"/>
        <v>-18096300</v>
      </c>
      <c r="H23" s="96">
        <f t="shared" si="2"/>
        <v>0</v>
      </c>
      <c r="I23" s="96">
        <f t="shared" si="3"/>
        <v>-18096300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4612</v>
      </c>
      <c r="B24" s="18">
        <v>-4000000</v>
      </c>
      <c r="C24" s="18">
        <v>0</v>
      </c>
      <c r="D24" s="113">
        <f t="shared" si="0"/>
        <v>-4000000</v>
      </c>
      <c r="E24" s="19" t="s">
        <v>3770</v>
      </c>
      <c r="F24" s="96">
        <v>9</v>
      </c>
      <c r="G24" s="96">
        <f t="shared" si="1"/>
        <v>-36000000</v>
      </c>
      <c r="H24" s="96">
        <f t="shared" si="2"/>
        <v>0</v>
      </c>
      <c r="I24" s="96">
        <f t="shared" si="3"/>
        <v>-36000000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4618</v>
      </c>
      <c r="B25" s="18">
        <v>-5700000</v>
      </c>
      <c r="C25" s="18">
        <v>0</v>
      </c>
      <c r="D25" s="113">
        <f t="shared" si="0"/>
        <v>-5700000</v>
      </c>
      <c r="E25" s="19" t="s">
        <v>3770</v>
      </c>
      <c r="F25" s="96">
        <v>8</v>
      </c>
      <c r="G25" s="96">
        <f t="shared" si="1"/>
        <v>-45600000</v>
      </c>
      <c r="H25" s="96">
        <f t="shared" si="2"/>
        <v>0</v>
      </c>
      <c r="I25" s="96">
        <f t="shared" si="3"/>
        <v>-45600000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4628</v>
      </c>
      <c r="B26" s="18">
        <v>8000000</v>
      </c>
      <c r="C26" s="18">
        <v>0</v>
      </c>
      <c r="D26" s="113">
        <f t="shared" si="0"/>
        <v>8000000</v>
      </c>
      <c r="E26" s="19" t="s">
        <v>3891</v>
      </c>
      <c r="F26" s="96">
        <v>5</v>
      </c>
      <c r="G26" s="96">
        <f t="shared" si="1"/>
        <v>40000000</v>
      </c>
      <c r="H26" s="96">
        <f t="shared" si="2"/>
        <v>0</v>
      </c>
      <c r="I26" s="96">
        <f t="shared" si="3"/>
        <v>40000000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-8000000</v>
      </c>
      <c r="C27" s="18">
        <v>0</v>
      </c>
      <c r="D27" s="113">
        <f t="shared" si="0"/>
        <v>-8000000</v>
      </c>
      <c r="E27" s="19" t="s">
        <v>3770</v>
      </c>
      <c r="F27" s="96">
        <v>5</v>
      </c>
      <c r="G27" s="96">
        <f t="shared" si="1"/>
        <v>-40000000</v>
      </c>
      <c r="H27" s="96">
        <f t="shared" si="2"/>
        <v>0</v>
      </c>
      <c r="I27" s="96">
        <f t="shared" si="3"/>
        <v>-40000000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4633</v>
      </c>
      <c r="B28" s="18">
        <v>-6000000</v>
      </c>
      <c r="C28" s="18">
        <v>0</v>
      </c>
      <c r="D28" s="113">
        <f t="shared" si="0"/>
        <v>-6000000</v>
      </c>
      <c r="E28" s="19" t="s">
        <v>3770</v>
      </c>
      <c r="F28" s="96">
        <v>2</v>
      </c>
      <c r="G28" s="96">
        <f t="shared" si="1"/>
        <v>-12000000</v>
      </c>
      <c r="H28" s="96">
        <f t="shared" si="2"/>
        <v>0</v>
      </c>
      <c r="I28" s="96">
        <f t="shared" si="3"/>
        <v>-12000000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4633</v>
      </c>
      <c r="B29" s="18">
        <v>-77315</v>
      </c>
      <c r="C29" s="18">
        <v>0</v>
      </c>
      <c r="D29" s="113">
        <f t="shared" si="0"/>
        <v>-77315</v>
      </c>
      <c r="E29" s="19" t="s">
        <v>4636</v>
      </c>
      <c r="F29" s="96">
        <v>2</v>
      </c>
      <c r="G29" s="96">
        <f t="shared" si="1"/>
        <v>-154630</v>
      </c>
      <c r="H29" s="96">
        <f t="shared" si="2"/>
        <v>0</v>
      </c>
      <c r="I29" s="96">
        <f t="shared" si="3"/>
        <v>-154630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4638</v>
      </c>
      <c r="B30" s="18">
        <v>-66850</v>
      </c>
      <c r="C30" s="18">
        <v>0</v>
      </c>
      <c r="D30" s="113">
        <f t="shared" si="0"/>
        <v>-66850</v>
      </c>
      <c r="E30" s="19" t="s">
        <v>4643</v>
      </c>
      <c r="F30" s="96">
        <v>1</v>
      </c>
      <c r="G30" s="96">
        <f t="shared" si="1"/>
        <v>-66850</v>
      </c>
      <c r="H30" s="96">
        <f t="shared" si="2"/>
        <v>0</v>
      </c>
      <c r="I30" s="96">
        <f t="shared" si="3"/>
        <v>-66850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4638</v>
      </c>
      <c r="B31" s="168">
        <v>-30000</v>
      </c>
      <c r="C31" s="168">
        <v>0</v>
      </c>
      <c r="D31" s="168">
        <f t="shared" ref="D31" si="4">B31-C31</f>
        <v>-30000</v>
      </c>
      <c r="E31" s="168" t="s">
        <v>4642</v>
      </c>
      <c r="F31" s="96">
        <v>1</v>
      </c>
      <c r="G31" s="96">
        <f>B31*F31</f>
        <v>-30000</v>
      </c>
      <c r="H31" s="96">
        <f>C31*F31</f>
        <v>0</v>
      </c>
      <c r="I31" s="96">
        <f>D31*F31</f>
        <v>-30000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554500</v>
      </c>
      <c r="C32" s="113">
        <f>SUM(C2:C31)</f>
        <v>0</v>
      </c>
      <c r="D32" s="113">
        <f>SUM(D2:D31)</f>
        <v>554500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339939560</v>
      </c>
      <c r="H33" s="18">
        <f>SUM(H2:H31)</f>
        <v>0</v>
      </c>
      <c r="I33" s="18">
        <f>SUM(I2:I31)</f>
        <v>339939560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 ht="19.5" customHeight="1">
      <c r="A38" s="96"/>
      <c r="B38" s="96"/>
      <c r="C38" s="96"/>
      <c r="D38" s="18">
        <v>2909349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 ht="20.25" customHeight="1">
      <c r="A39" s="96"/>
      <c r="B39" s="96"/>
      <c r="C39" s="96"/>
      <c r="D39" s="18">
        <v>59390</v>
      </c>
      <c r="E39" s="96" t="s">
        <v>4558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 ht="19.5" customHeight="1">
      <c r="A40" s="96"/>
      <c r="B40" s="114"/>
      <c r="C40" s="96"/>
      <c r="D40" s="18">
        <v>-1297612</v>
      </c>
      <c r="E40" s="122" t="s">
        <v>4562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 ht="24.75" customHeight="1">
      <c r="A41" s="96"/>
      <c r="B41" s="96"/>
      <c r="C41" s="96"/>
      <c r="D41" s="18">
        <v>3576</v>
      </c>
      <c r="E41" s="122" t="s">
        <v>4564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 ht="30.75" customHeight="1">
      <c r="A42" s="96"/>
      <c r="B42" s="96"/>
      <c r="C42" s="96"/>
      <c r="D42" s="18">
        <v>-400000</v>
      </c>
      <c r="E42" s="122" t="s">
        <v>4565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 ht="24.75" customHeight="1">
      <c r="A43" s="96"/>
      <c r="B43" s="96"/>
      <c r="C43" s="96"/>
      <c r="D43" s="18">
        <v>30000</v>
      </c>
      <c r="E43" s="122" t="s">
        <v>3775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 ht="21.75" customHeight="1">
      <c r="A44" s="96"/>
      <c r="B44" s="96"/>
      <c r="C44" s="96"/>
      <c r="D44" s="18">
        <v>57000</v>
      </c>
      <c r="E44" s="122" t="s">
        <v>4573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 ht="24.75" customHeight="1">
      <c r="A45" s="96"/>
      <c r="B45" s="96"/>
      <c r="C45" s="96"/>
      <c r="D45" s="18">
        <v>-200000</v>
      </c>
      <c r="E45" s="122" t="s">
        <v>4582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 ht="18.75" customHeight="1">
      <c r="A46" s="96"/>
      <c r="B46" s="96"/>
      <c r="C46" s="96"/>
      <c r="D46" s="18">
        <v>2010700</v>
      </c>
      <c r="E46" s="122" t="s">
        <v>4616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 ht="23.25" customHeight="1">
      <c r="A47" s="96"/>
      <c r="B47" s="96"/>
      <c r="C47" s="96"/>
      <c r="D47" s="18">
        <v>-60000</v>
      </c>
      <c r="E47" s="122" t="s">
        <v>4629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49315</v>
      </c>
      <c r="E48" s="122" t="s">
        <v>4637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 ht="32.25" customHeight="1">
      <c r="A49" s="96"/>
      <c r="B49" s="96"/>
      <c r="C49" s="96"/>
      <c r="D49" s="18"/>
      <c r="E49" s="122"/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 ht="36" customHeight="1">
      <c r="A50" s="96"/>
      <c r="B50" s="96"/>
      <c r="C50" s="96"/>
      <c r="D50" s="18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/>
      <c r="E52" s="96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/>
      <c r="E53" s="96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/>
      <c r="E54" s="96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/>
      <c r="E56" s="96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f>SUM(D38:D56)</f>
        <v>3161718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"/>
  <sheetViews>
    <sheetView topLeftCell="A40" workbookViewId="0">
      <selection activeCell="B35" sqref="B35"/>
    </sheetView>
  </sheetViews>
  <sheetFormatPr defaultRowHeight="15"/>
  <cols>
    <col min="1" max="1" width="10.7109375" bestFit="1" customWidth="1"/>
    <col min="2" max="2" width="15.85546875" bestFit="1" customWidth="1"/>
    <col min="3" max="3" width="7.28515625" bestFit="1" customWidth="1"/>
    <col min="4" max="4" width="15.85546875" bestFit="1" customWidth="1"/>
    <col min="5" max="5" width="31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5.140625" bestFit="1" customWidth="1"/>
    <col min="10" max="10" width="7.2851562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4638</v>
      </c>
      <c r="B2" s="113">
        <f>'دی 97'!B32</f>
        <v>554500</v>
      </c>
      <c r="C2" s="1">
        <f>'دی 97'!C32</f>
        <v>0</v>
      </c>
      <c r="D2" s="113">
        <f>B2-C2</f>
        <v>554500</v>
      </c>
      <c r="E2" s="168" t="s">
        <v>59</v>
      </c>
      <c r="F2" s="96">
        <v>30</v>
      </c>
      <c r="G2" s="96">
        <f>B2*F2</f>
        <v>16635000</v>
      </c>
      <c r="H2" s="96">
        <f>C2*F2</f>
        <v>0</v>
      </c>
      <c r="I2" s="96">
        <f>D2*F2</f>
        <v>16635000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4648</v>
      </c>
      <c r="B3" s="18">
        <v>-45000</v>
      </c>
      <c r="C3" s="18">
        <v>0</v>
      </c>
      <c r="D3" s="113">
        <f t="shared" ref="D3:D31" si="0">B3-C3</f>
        <v>-45000</v>
      </c>
      <c r="E3" s="20" t="s">
        <v>3770</v>
      </c>
      <c r="F3" s="96">
        <v>29</v>
      </c>
      <c r="G3" s="96">
        <f t="shared" ref="G3:G30" si="1">B3*F3</f>
        <v>-1305000</v>
      </c>
      <c r="H3" s="96">
        <f t="shared" ref="H3:H30" si="2">C3*F3</f>
        <v>0</v>
      </c>
      <c r="I3" s="96">
        <f t="shared" ref="I3:I30" si="3">D3*F3</f>
        <v>-1305000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4648</v>
      </c>
      <c r="B4" s="18">
        <v>-47848</v>
      </c>
      <c r="C4" s="18">
        <v>0</v>
      </c>
      <c r="D4" s="113">
        <f t="shared" si="0"/>
        <v>-47848</v>
      </c>
      <c r="E4" s="99" t="s">
        <v>61</v>
      </c>
      <c r="F4" s="96">
        <v>29</v>
      </c>
      <c r="G4" s="96">
        <f t="shared" si="1"/>
        <v>-1387592</v>
      </c>
      <c r="H4" s="96">
        <f t="shared" si="2"/>
        <v>0</v>
      </c>
      <c r="I4" s="96">
        <f t="shared" si="3"/>
        <v>-1387592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4664</v>
      </c>
      <c r="B5" s="18">
        <v>-200000</v>
      </c>
      <c r="C5" s="18">
        <v>0</v>
      </c>
      <c r="D5" s="113">
        <f t="shared" si="0"/>
        <v>-200000</v>
      </c>
      <c r="E5" s="20" t="s">
        <v>4661</v>
      </c>
      <c r="F5" s="96">
        <v>28</v>
      </c>
      <c r="G5" s="96">
        <f t="shared" si="1"/>
        <v>-5600000</v>
      </c>
      <c r="H5" s="96">
        <f t="shared" si="2"/>
        <v>0</v>
      </c>
      <c r="I5" s="96">
        <f t="shared" si="3"/>
        <v>-5600000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4675</v>
      </c>
      <c r="B6" s="18">
        <v>-60460</v>
      </c>
      <c r="C6" s="18">
        <v>0</v>
      </c>
      <c r="D6" s="113">
        <f t="shared" si="0"/>
        <v>-60460</v>
      </c>
      <c r="E6" s="19" t="s">
        <v>61</v>
      </c>
      <c r="F6" s="96">
        <v>25</v>
      </c>
      <c r="G6" s="96">
        <f t="shared" si="1"/>
        <v>-1511500</v>
      </c>
      <c r="H6" s="96">
        <f t="shared" si="2"/>
        <v>0</v>
      </c>
      <c r="I6" s="96">
        <f t="shared" si="3"/>
        <v>-1511500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4681</v>
      </c>
      <c r="B7" s="18">
        <v>-60000</v>
      </c>
      <c r="C7" s="18">
        <v>0</v>
      </c>
      <c r="D7" s="113">
        <f t="shared" si="0"/>
        <v>-60000</v>
      </c>
      <c r="E7" s="19" t="s">
        <v>3770</v>
      </c>
      <c r="F7" s="96">
        <v>24</v>
      </c>
      <c r="G7" s="96">
        <f t="shared" si="1"/>
        <v>-1440000</v>
      </c>
      <c r="H7" s="96">
        <f t="shared" si="2"/>
        <v>0</v>
      </c>
      <c r="I7" s="96">
        <f t="shared" si="3"/>
        <v>-1440000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4681</v>
      </c>
      <c r="B8" s="18">
        <v>2400000</v>
      </c>
      <c r="C8" s="18">
        <v>0</v>
      </c>
      <c r="D8" s="113">
        <f t="shared" si="0"/>
        <v>2400000</v>
      </c>
      <c r="E8" s="19" t="s">
        <v>3891</v>
      </c>
      <c r="F8" s="96">
        <v>23</v>
      </c>
      <c r="G8" s="96">
        <f t="shared" si="1"/>
        <v>55200000</v>
      </c>
      <c r="H8" s="96">
        <f t="shared" si="2"/>
        <v>0</v>
      </c>
      <c r="I8" s="96">
        <f t="shared" si="3"/>
        <v>55200000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4681</v>
      </c>
      <c r="B9" s="18">
        <v>-135487</v>
      </c>
      <c r="C9" s="18">
        <v>0</v>
      </c>
      <c r="D9" s="113">
        <f t="shared" si="0"/>
        <v>-135487</v>
      </c>
      <c r="E9" s="21" t="s">
        <v>4014</v>
      </c>
      <c r="F9" s="96">
        <v>23</v>
      </c>
      <c r="G9" s="96">
        <f t="shared" si="1"/>
        <v>-3116201</v>
      </c>
      <c r="H9" s="96">
        <f t="shared" si="2"/>
        <v>0</v>
      </c>
      <c r="I9" s="96">
        <f t="shared" si="3"/>
        <v>-3116201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4681</v>
      </c>
      <c r="B10" s="18">
        <v>-51400</v>
      </c>
      <c r="C10" s="18">
        <v>0</v>
      </c>
      <c r="D10" s="113">
        <f t="shared" si="0"/>
        <v>-51400</v>
      </c>
      <c r="E10" s="19" t="s">
        <v>4688</v>
      </c>
      <c r="F10" s="96">
        <v>24</v>
      </c>
      <c r="G10" s="96">
        <f t="shared" si="1"/>
        <v>-1233600</v>
      </c>
      <c r="H10" s="96">
        <f t="shared" si="2"/>
        <v>0</v>
      </c>
      <c r="I10" s="96">
        <f t="shared" si="3"/>
        <v>-1233600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4691</v>
      </c>
      <c r="B11" s="18">
        <v>-2250000</v>
      </c>
      <c r="C11" s="18">
        <v>0</v>
      </c>
      <c r="D11" s="113">
        <f t="shared" si="0"/>
        <v>-2250000</v>
      </c>
      <c r="E11" s="19" t="s">
        <v>3770</v>
      </c>
      <c r="F11" s="96">
        <v>23</v>
      </c>
      <c r="G11" s="96">
        <f t="shared" si="1"/>
        <v>-51750000</v>
      </c>
      <c r="H11" s="96">
        <f t="shared" si="2"/>
        <v>0</v>
      </c>
      <c r="I11" s="96">
        <f t="shared" si="3"/>
        <v>-51750000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4691</v>
      </c>
      <c r="B12" s="18">
        <v>700000</v>
      </c>
      <c r="C12" s="18">
        <v>0</v>
      </c>
      <c r="D12" s="113">
        <f t="shared" si="0"/>
        <v>700000</v>
      </c>
      <c r="E12" s="20" t="s">
        <v>3891</v>
      </c>
      <c r="F12" s="96">
        <v>22</v>
      </c>
      <c r="G12" s="96">
        <f t="shared" si="1"/>
        <v>15400000</v>
      </c>
      <c r="H12" s="96">
        <f t="shared" si="2"/>
        <v>0</v>
      </c>
      <c r="I12" s="96">
        <f t="shared" si="3"/>
        <v>15400000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4718</v>
      </c>
      <c r="B13" s="18">
        <v>570000</v>
      </c>
      <c r="C13" s="18">
        <v>0</v>
      </c>
      <c r="D13" s="113">
        <f t="shared" si="0"/>
        <v>570000</v>
      </c>
      <c r="E13" s="20" t="s">
        <v>3891</v>
      </c>
      <c r="F13" s="96">
        <v>20</v>
      </c>
      <c r="G13" s="96">
        <f>B13*F13</f>
        <v>11400000</v>
      </c>
      <c r="H13" s="96">
        <f t="shared" si="2"/>
        <v>0</v>
      </c>
      <c r="I13" s="96">
        <f t="shared" si="3"/>
        <v>11400000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4718</v>
      </c>
      <c r="B14" s="18">
        <v>-80000</v>
      </c>
      <c r="C14" s="18">
        <v>0</v>
      </c>
      <c r="D14" s="113">
        <f t="shared" si="0"/>
        <v>-80000</v>
      </c>
      <c r="E14" s="20" t="s">
        <v>1134</v>
      </c>
      <c r="F14" s="96">
        <v>20</v>
      </c>
      <c r="G14" s="96">
        <f t="shared" si="1"/>
        <v>-1600000</v>
      </c>
      <c r="H14" s="96">
        <f t="shared" si="2"/>
        <v>0</v>
      </c>
      <c r="I14" s="96">
        <f t="shared" si="3"/>
        <v>-1600000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4718</v>
      </c>
      <c r="B15" s="18">
        <v>-196773</v>
      </c>
      <c r="C15" s="18">
        <v>0</v>
      </c>
      <c r="D15" s="113">
        <f t="shared" si="0"/>
        <v>-196773</v>
      </c>
      <c r="E15" s="20" t="s">
        <v>505</v>
      </c>
      <c r="F15" s="96">
        <v>20</v>
      </c>
      <c r="G15" s="96">
        <f t="shared" si="1"/>
        <v>-3935460</v>
      </c>
      <c r="H15" s="96">
        <f t="shared" si="2"/>
        <v>0</v>
      </c>
      <c r="I15" s="96">
        <f t="shared" si="3"/>
        <v>-3935460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4723</v>
      </c>
      <c r="B16" s="18">
        <v>-114710</v>
      </c>
      <c r="C16" s="18">
        <v>0</v>
      </c>
      <c r="D16" s="113">
        <f t="shared" si="0"/>
        <v>-114710</v>
      </c>
      <c r="E16" s="20" t="s">
        <v>61</v>
      </c>
      <c r="F16" s="96">
        <v>19</v>
      </c>
      <c r="G16" s="96">
        <f t="shared" si="1"/>
        <v>-2179490</v>
      </c>
      <c r="H16" s="96">
        <f t="shared" si="2"/>
        <v>0</v>
      </c>
      <c r="I16" s="96">
        <f t="shared" si="3"/>
        <v>-2179490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4739</v>
      </c>
      <c r="B17" s="18">
        <v>-1000</v>
      </c>
      <c r="C17" s="18">
        <v>0</v>
      </c>
      <c r="D17" s="113">
        <f t="shared" si="0"/>
        <v>-1000</v>
      </c>
      <c r="E17" s="20" t="s">
        <v>3770</v>
      </c>
      <c r="F17" s="96">
        <v>15</v>
      </c>
      <c r="G17" s="96">
        <f t="shared" si="1"/>
        <v>-15000</v>
      </c>
      <c r="H17" s="96">
        <f t="shared" si="2"/>
        <v>0</v>
      </c>
      <c r="I17" s="96">
        <f t="shared" si="3"/>
        <v>-15000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4745</v>
      </c>
      <c r="B18" s="18">
        <v>250000</v>
      </c>
      <c r="C18" s="18">
        <v>0</v>
      </c>
      <c r="D18" s="113">
        <f t="shared" si="0"/>
        <v>250000</v>
      </c>
      <c r="E18" s="20" t="s">
        <v>3891</v>
      </c>
      <c r="F18" s="96">
        <v>13</v>
      </c>
      <c r="G18" s="96">
        <f t="shared" si="1"/>
        <v>3250000</v>
      </c>
      <c r="H18" s="96">
        <f t="shared" si="2"/>
        <v>0</v>
      </c>
      <c r="I18" s="96">
        <f t="shared" si="3"/>
        <v>3250000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4745</v>
      </c>
      <c r="B19" s="18">
        <v>-55120</v>
      </c>
      <c r="C19" s="18">
        <v>0</v>
      </c>
      <c r="D19" s="113">
        <f t="shared" si="0"/>
        <v>-55120</v>
      </c>
      <c r="E19" s="20" t="s">
        <v>4014</v>
      </c>
      <c r="F19" s="96">
        <v>13</v>
      </c>
      <c r="G19" s="96">
        <f t="shared" si="1"/>
        <v>-716560</v>
      </c>
      <c r="H19" s="96">
        <f t="shared" si="2"/>
        <v>0</v>
      </c>
      <c r="I19" s="96">
        <f t="shared" si="3"/>
        <v>-716560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4757</v>
      </c>
      <c r="B20" s="18">
        <v>-115000</v>
      </c>
      <c r="C20" s="18">
        <v>0</v>
      </c>
      <c r="D20" s="113">
        <f t="shared" si="0"/>
        <v>-115000</v>
      </c>
      <c r="E20" s="19" t="s">
        <v>821</v>
      </c>
      <c r="F20" s="96">
        <v>11</v>
      </c>
      <c r="G20" s="96">
        <f t="shared" si="1"/>
        <v>-1265000</v>
      </c>
      <c r="H20" s="96">
        <f t="shared" si="2"/>
        <v>0</v>
      </c>
      <c r="I20" s="96">
        <f t="shared" si="3"/>
        <v>-1265000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4747</v>
      </c>
      <c r="B21" s="18">
        <v>-214549</v>
      </c>
      <c r="C21" s="18">
        <v>0</v>
      </c>
      <c r="D21" s="113">
        <f t="shared" si="0"/>
        <v>-214549</v>
      </c>
      <c r="E21" s="19" t="s">
        <v>3927</v>
      </c>
      <c r="F21" s="96">
        <v>10</v>
      </c>
      <c r="G21" s="96">
        <f t="shared" si="1"/>
        <v>-2145490</v>
      </c>
      <c r="H21" s="96">
        <f t="shared" si="2"/>
        <v>0</v>
      </c>
      <c r="I21" s="96">
        <f t="shared" si="3"/>
        <v>-2145490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4749</v>
      </c>
      <c r="B22" s="18">
        <v>-324747</v>
      </c>
      <c r="C22" s="18">
        <v>0</v>
      </c>
      <c r="D22" s="113">
        <f t="shared" si="0"/>
        <v>-324747</v>
      </c>
      <c r="E22" s="19" t="s">
        <v>4758</v>
      </c>
      <c r="F22" s="96">
        <v>8</v>
      </c>
      <c r="G22" s="96">
        <f t="shared" si="1"/>
        <v>-2597976</v>
      </c>
      <c r="H22" s="96">
        <f t="shared" si="2"/>
        <v>0</v>
      </c>
      <c r="I22" s="96">
        <f t="shared" si="3"/>
        <v>-2597976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4767</v>
      </c>
      <c r="B23" s="18">
        <v>-297992</v>
      </c>
      <c r="C23" s="18">
        <v>0</v>
      </c>
      <c r="D23" s="113">
        <f t="shared" si="0"/>
        <v>-297992</v>
      </c>
      <c r="E23" s="19" t="s">
        <v>4768</v>
      </c>
      <c r="F23" s="96">
        <v>5</v>
      </c>
      <c r="G23" s="96">
        <f t="shared" si="1"/>
        <v>-1489960</v>
      </c>
      <c r="H23" s="96">
        <f t="shared" si="2"/>
        <v>0</v>
      </c>
      <c r="I23" s="96">
        <f t="shared" si="3"/>
        <v>-1489960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3684</v>
      </c>
      <c r="B24" s="18">
        <v>-130000</v>
      </c>
      <c r="C24" s="18">
        <v>0</v>
      </c>
      <c r="D24" s="113">
        <f t="shared" si="0"/>
        <v>-130000</v>
      </c>
      <c r="E24" s="19" t="s">
        <v>3927</v>
      </c>
      <c r="F24" s="96">
        <v>3</v>
      </c>
      <c r="G24" s="96">
        <f t="shared" si="1"/>
        <v>-390000</v>
      </c>
      <c r="H24" s="96">
        <f t="shared" si="2"/>
        <v>0</v>
      </c>
      <c r="I24" s="96">
        <f t="shared" si="3"/>
        <v>-390000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4776</v>
      </c>
      <c r="B25" s="18">
        <v>-40000</v>
      </c>
      <c r="C25" s="18">
        <v>0</v>
      </c>
      <c r="D25" s="113">
        <f t="shared" si="0"/>
        <v>-40000</v>
      </c>
      <c r="E25" s="19" t="s">
        <v>1134</v>
      </c>
      <c r="F25" s="96">
        <v>2</v>
      </c>
      <c r="G25" s="96">
        <f t="shared" si="1"/>
        <v>-80000</v>
      </c>
      <c r="H25" s="96">
        <f t="shared" si="2"/>
        <v>0</v>
      </c>
      <c r="I25" s="96">
        <f t="shared" si="3"/>
        <v>-80000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4628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4633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4633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4638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4638</v>
      </c>
      <c r="B31" s="168">
        <v>0</v>
      </c>
      <c r="C31" s="168">
        <v>0</v>
      </c>
      <c r="D31" s="168">
        <f t="shared" si="0"/>
        <v>0</v>
      </c>
      <c r="E31" s="168"/>
      <c r="F31" s="96">
        <v>1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54414</v>
      </c>
      <c r="C32" s="113">
        <f>SUM(C2:C31)</f>
        <v>0</v>
      </c>
      <c r="D32" s="113">
        <f>SUM(D2:D31)</f>
        <v>54414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18126171</v>
      </c>
      <c r="H33" s="18">
        <f>SUM(H2:H31)</f>
        <v>0</v>
      </c>
      <c r="I33" s="18">
        <f>SUM(I2:I31)</f>
        <v>18126171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8">
        <v>3161718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8">
        <v>1100000</v>
      </c>
      <c r="E39" s="96" t="s">
        <v>4657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114"/>
      <c r="C40" s="96"/>
      <c r="D40" s="18">
        <v>-200000</v>
      </c>
      <c r="E40" s="122" t="s">
        <v>4658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8">
        <v>47848</v>
      </c>
      <c r="E41" s="122" t="s">
        <v>4662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8">
        <v>200000</v>
      </c>
      <c r="E42" s="122" t="s">
        <v>4663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8">
        <v>60460</v>
      </c>
      <c r="E43" s="122" t="s">
        <v>4684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8">
        <v>-2400000</v>
      </c>
      <c r="E44" s="122" t="s">
        <v>4685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8">
        <v>135487</v>
      </c>
      <c r="E45" s="122" t="s">
        <v>4686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8">
        <v>347153</v>
      </c>
      <c r="E46" s="122" t="s">
        <v>4687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8">
        <v>51400</v>
      </c>
      <c r="E47" s="122" t="s">
        <v>4688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-200000</v>
      </c>
      <c r="E48" s="122" t="s">
        <v>4694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8">
        <v>-400000</v>
      </c>
      <c r="E49" s="122" t="s">
        <v>4700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8">
        <v>-200000</v>
      </c>
      <c r="E50" s="122" t="s">
        <v>4701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>
        <v>276773</v>
      </c>
      <c r="E51" s="122" t="s">
        <v>4721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>
        <v>114710</v>
      </c>
      <c r="E52" s="122" t="s">
        <v>4724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>
        <v>55120</v>
      </c>
      <c r="E53" s="122" t="s">
        <v>4746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>
        <v>115000</v>
      </c>
      <c r="E54" s="122" t="s">
        <v>4754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>
        <v>247560</v>
      </c>
      <c r="E55" s="122" t="s">
        <v>4755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>
        <v>77187</v>
      </c>
      <c r="E56" s="122" t="s">
        <v>4756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v>-140000</v>
      </c>
      <c r="E57" s="122" t="s">
        <v>4759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8">
        <v>-1600000</v>
      </c>
      <c r="E58" s="122" t="s">
        <v>4762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8">
        <v>-2000</v>
      </c>
      <c r="E59" s="122" t="s">
        <v>4769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8">
        <v>40000</v>
      </c>
      <c r="E60" s="122" t="s">
        <v>4791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8">
        <v>-146877</v>
      </c>
      <c r="E61" s="122" t="s">
        <v>4792</v>
      </c>
      <c r="F61" s="96"/>
      <c r="G61" s="96" t="s">
        <v>25</v>
      </c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D62" s="18"/>
      <c r="E62" s="96" t="s">
        <v>25</v>
      </c>
    </row>
    <row r="63" spans="1:19">
      <c r="D63" s="18">
        <f>SUM(D38:D62)</f>
        <v>741539</v>
      </c>
      <c r="E63" s="96" t="s">
        <v>6</v>
      </c>
    </row>
    <row r="64" spans="1:19">
      <c r="D64" s="96"/>
      <c r="E64" s="96" t="s">
        <v>25</v>
      </c>
    </row>
    <row r="65" spans="4:5">
      <c r="D65" s="96"/>
      <c r="E65" s="96" t="s">
        <v>25</v>
      </c>
    </row>
    <row r="66" spans="4:5">
      <c r="D66" s="96"/>
      <c r="E66" s="96" t="s">
        <v>25</v>
      </c>
    </row>
    <row r="67" spans="4:5">
      <c r="D67" s="96"/>
      <c r="E67" s="96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1121</v>
      </c>
      <c r="AI3" s="107" t="s">
        <v>1022</v>
      </c>
      <c r="AJ3" s="107" t="s">
        <v>1023</v>
      </c>
      <c r="AK3" s="107" t="s">
        <v>1122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3708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1124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1125</v>
      </c>
      <c r="U44" s="76"/>
    </row>
    <row r="45" spans="1:26">
      <c r="A45" s="118" t="s">
        <v>1110</v>
      </c>
      <c r="B45" s="118" t="s">
        <v>1126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3708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3708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3756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1123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3" t="s">
        <v>4222</v>
      </c>
      <c r="B3" s="184">
        <f>$S3/(1+($B$1-$O3+$P3)/36500)^$N3</f>
        <v>99046.003825865118</v>
      </c>
      <c r="C3" s="184">
        <f t="shared" si="0"/>
        <v>99197.985607816503</v>
      </c>
      <c r="D3" s="184">
        <f t="shared" ref="D3:D38" si="5">$S3/(1+($D$1-$O3+$P3)/36500)^$N3</f>
        <v>99217.000892295604</v>
      </c>
      <c r="E3" s="184">
        <f t="shared" ref="E3:E38" si="6">$S3/(1+($E$1-$O3+$P3)/36500)^$N3</f>
        <v>99236.020082232528</v>
      </c>
      <c r="F3" s="184">
        <f t="shared" ref="F3:F38" si="7">$S3/(1+($F$1-$O3+$P3)/36500)^$N3</f>
        <v>99255.043178483247</v>
      </c>
      <c r="G3" s="184">
        <f t="shared" ref="G3:G38" si="8">$S3/(1+($G$1-$O3+$P3)/36500)^$N3</f>
        <v>99274.070181903095</v>
      </c>
      <c r="H3" s="184">
        <f t="shared" ref="H3:H38" si="9">$S3/(1+($H$1-$O3+$P3)/36500)^$N3</f>
        <v>99293.101093348567</v>
      </c>
      <c r="I3" s="184">
        <f t="shared" ref="I3:I38" si="10">$S3/(1+($I$1-$O3+$P3)/36500)^$N3</f>
        <v>99312.13591367552</v>
      </c>
      <c r="J3" s="184">
        <f t="shared" ref="J3:J38" si="11">$S3/(1+($J$1-$O3+$P3)/36500)^$N3</f>
        <v>99331.174643740407</v>
      </c>
      <c r="K3" s="184">
        <f t="shared" ref="K3:K38" si="12">$S3/(1+($K$1-$O3+$P3)/36500)^$N3</f>
        <v>99350.21728440038</v>
      </c>
      <c r="L3" s="184">
        <f t="shared" si="1"/>
        <v>99236.020082232528</v>
      </c>
      <c r="M3" s="183" t="s">
        <v>4231</v>
      </c>
      <c r="N3" s="183">
        <f>272-$AD$19</f>
        <v>14</v>
      </c>
      <c r="O3" s="183">
        <v>0</v>
      </c>
      <c r="P3" s="183">
        <v>0</v>
      </c>
      <c r="Q3" s="183">
        <v>0</v>
      </c>
      <c r="R3" s="183"/>
      <c r="S3" s="184">
        <v>100000</v>
      </c>
      <c r="T3" s="184"/>
      <c r="U3" s="184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3" t="s">
        <v>984</v>
      </c>
      <c r="B7" s="184">
        <f t="shared" si="14"/>
        <v>86547.994414879649</v>
      </c>
      <c r="C7" s="184">
        <f t="shared" si="0"/>
        <v>88571.296231699031</v>
      </c>
      <c r="D7" s="184">
        <f t="shared" si="5"/>
        <v>88827.528140362279</v>
      </c>
      <c r="E7" s="184">
        <f t="shared" si="6"/>
        <v>89084.5048372124</v>
      </c>
      <c r="F7" s="184">
        <f t="shared" si="7"/>
        <v>89342.228497369317</v>
      </c>
      <c r="G7" s="184">
        <f t="shared" si="8"/>
        <v>89600.701302322937</v>
      </c>
      <c r="H7" s="184">
        <f t="shared" si="9"/>
        <v>89859.925439976432</v>
      </c>
      <c r="I7" s="184">
        <f t="shared" si="10"/>
        <v>90119.903104643236</v>
      </c>
      <c r="J7" s="184">
        <f t="shared" si="11"/>
        <v>90380.636497079715</v>
      </c>
      <c r="K7" s="184">
        <f t="shared" si="12"/>
        <v>90642.12782450729</v>
      </c>
      <c r="L7" s="184">
        <f t="shared" si="1"/>
        <v>89084.5048372124</v>
      </c>
      <c r="M7" s="183" t="s">
        <v>993</v>
      </c>
      <c r="N7" s="183">
        <f>469-$AD$19</f>
        <v>211</v>
      </c>
      <c r="O7" s="183">
        <v>0</v>
      </c>
      <c r="P7" s="183">
        <v>0</v>
      </c>
      <c r="Q7" s="183">
        <v>0</v>
      </c>
      <c r="R7" s="183">
        <f t="shared" si="2"/>
        <v>6.918032786885246</v>
      </c>
      <c r="S7" s="184">
        <v>100000</v>
      </c>
      <c r="T7" s="184">
        <v>77700</v>
      </c>
      <c r="U7" s="184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4223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4232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3" t="s">
        <v>986</v>
      </c>
      <c r="B10" s="184">
        <f t="shared" si="14"/>
        <v>74649.553771356703</v>
      </c>
      <c r="C10" s="184">
        <f t="shared" si="0"/>
        <v>78223.459687256604</v>
      </c>
      <c r="D10" s="184">
        <f t="shared" si="5"/>
        <v>78682.092656479595</v>
      </c>
      <c r="E10" s="184">
        <f t="shared" si="6"/>
        <v>79143.420976993148</v>
      </c>
      <c r="F10" s="184">
        <f t="shared" si="7"/>
        <v>79607.460526411698</v>
      </c>
      <c r="G10" s="184">
        <f t="shared" si="8"/>
        <v>80074.227276077727</v>
      </c>
      <c r="H10" s="184">
        <f t="shared" si="9"/>
        <v>80543.737291660771</v>
      </c>
      <c r="I10" s="184">
        <f t="shared" si="10"/>
        <v>81016.00673367588</v>
      </c>
      <c r="J10" s="184">
        <f t="shared" si="11"/>
        <v>81491.051858070176</v>
      </c>
      <c r="K10" s="184">
        <f t="shared" si="12"/>
        <v>81968.88901679343</v>
      </c>
      <c r="L10" s="184">
        <f t="shared" si="1"/>
        <v>79143.420976993148</v>
      </c>
      <c r="M10" s="183" t="s">
        <v>998</v>
      </c>
      <c r="N10" s="183">
        <f>685-$AD$19</f>
        <v>427</v>
      </c>
      <c r="O10" s="183">
        <v>0</v>
      </c>
      <c r="P10" s="183">
        <v>0</v>
      </c>
      <c r="Q10" s="183">
        <v>0</v>
      </c>
      <c r="R10" s="183">
        <f t="shared" si="2"/>
        <v>14</v>
      </c>
      <c r="S10" s="184">
        <v>100000</v>
      </c>
      <c r="T10" s="184">
        <v>70000</v>
      </c>
      <c r="U10" s="184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3" t="s">
        <v>989</v>
      </c>
      <c r="B13" s="184">
        <f t="shared" si="14"/>
        <v>79068.85842186345</v>
      </c>
      <c r="C13" s="184">
        <f t="shared" si="0"/>
        <v>82095.603807312829</v>
      </c>
      <c r="D13" s="184">
        <f t="shared" si="5"/>
        <v>82482.028127861122</v>
      </c>
      <c r="E13" s="184">
        <f t="shared" si="6"/>
        <v>82870.276677098853</v>
      </c>
      <c r="F13" s="184">
        <f t="shared" si="7"/>
        <v>83260.358091991075</v>
      </c>
      <c r="G13" s="184">
        <f t="shared" si="8"/>
        <v>83652.281050495862</v>
      </c>
      <c r="H13" s="184">
        <f t="shared" si="9"/>
        <v>84046.054271796573</v>
      </c>
      <c r="I13" s="184">
        <f t="shared" si="10"/>
        <v>84441.686516464833</v>
      </c>
      <c r="J13" s="184">
        <f t="shared" si="11"/>
        <v>84839.186586678727</v>
      </c>
      <c r="K13" s="184">
        <f t="shared" si="12"/>
        <v>85238.56332642585</v>
      </c>
      <c r="L13" s="184">
        <f t="shared" si="1"/>
        <v>82870.276677098853</v>
      </c>
      <c r="M13" s="183" t="s">
        <v>991</v>
      </c>
      <c r="N13" s="183">
        <f>601-$AD$19</f>
        <v>343</v>
      </c>
      <c r="O13" s="183">
        <v>0</v>
      </c>
      <c r="P13" s="183">
        <v>0</v>
      </c>
      <c r="Q13" s="183">
        <v>0</v>
      </c>
      <c r="R13" s="183">
        <f t="shared" si="2"/>
        <v>11.245901639344263</v>
      </c>
      <c r="S13" s="184">
        <v>100000</v>
      </c>
      <c r="T13" s="184">
        <v>73100</v>
      </c>
      <c r="U13" s="184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3852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3853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3905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3906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3953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4209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3" t="s">
        <v>4224</v>
      </c>
      <c r="B17" s="184">
        <f t="shared" si="14"/>
        <v>99453.739818107439</v>
      </c>
      <c r="C17" s="184">
        <f t="shared" si="0"/>
        <v>99540.915413847426</v>
      </c>
      <c r="D17" s="184">
        <f t="shared" si="5"/>
        <v>99551.818406454418</v>
      </c>
      <c r="E17" s="184">
        <f t="shared" si="6"/>
        <v>99562.722742594109</v>
      </c>
      <c r="F17" s="184">
        <f t="shared" si="7"/>
        <v>99573.628422450667</v>
      </c>
      <c r="G17" s="184">
        <f t="shared" si="8"/>
        <v>99584.53544620781</v>
      </c>
      <c r="H17" s="184">
        <f t="shared" si="9"/>
        <v>99595.443814049795</v>
      </c>
      <c r="I17" s="184">
        <f t="shared" si="10"/>
        <v>99606.353526160514</v>
      </c>
      <c r="J17" s="184">
        <f t="shared" si="11"/>
        <v>99617.264582724019</v>
      </c>
      <c r="K17" s="184">
        <f t="shared" si="12"/>
        <v>99628.176983924757</v>
      </c>
      <c r="L17" s="184">
        <f t="shared" si="1"/>
        <v>99562.722742594109</v>
      </c>
      <c r="M17" s="183" t="s">
        <v>4233</v>
      </c>
      <c r="N17" s="183">
        <f>266-$AD$19</f>
        <v>8</v>
      </c>
      <c r="O17" s="183">
        <v>0</v>
      </c>
      <c r="P17" s="183">
        <v>0</v>
      </c>
      <c r="Q17" s="183">
        <v>0</v>
      </c>
      <c r="R17" s="183">
        <f t="shared" si="2"/>
        <v>0.26229508196721313</v>
      </c>
      <c r="S17" s="184">
        <v>100000</v>
      </c>
      <c r="T17" s="184"/>
      <c r="U17" s="184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4225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4234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4226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4235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4227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3853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3" t="s">
        <v>4228</v>
      </c>
      <c r="B21" s="184">
        <f t="shared" si="14"/>
        <v>66857.823112987317</v>
      </c>
      <c r="C21" s="184">
        <f>$S21/(1+($C$1-$O21+$P21)/36500)^$N21</f>
        <v>71304.974843349148</v>
      </c>
      <c r="D21" s="184">
        <f t="shared" si="5"/>
        <v>71881.312145205186</v>
      </c>
      <c r="E21" s="184">
        <f t="shared" si="6"/>
        <v>72462.31579975826</v>
      </c>
      <c r="F21" s="184">
        <f t="shared" si="7"/>
        <v>73048.023653116747</v>
      </c>
      <c r="G21" s="184">
        <f t="shared" si="8"/>
        <v>73638.473858833444</v>
      </c>
      <c r="H21" s="184">
        <f t="shared" si="9"/>
        <v>74233.704880463745</v>
      </c>
      <c r="I21" s="184">
        <f t="shared" si="10"/>
        <v>74833.755494038065</v>
      </c>
      <c r="J21" s="184">
        <f t="shared" si="11"/>
        <v>75438.664790636714</v>
      </c>
      <c r="K21" s="184">
        <f t="shared" si="12"/>
        <v>76048.472178961587</v>
      </c>
      <c r="L21" s="184">
        <f t="shared" si="1"/>
        <v>72462.31579975826</v>
      </c>
      <c r="M21" s="183" t="s">
        <v>4236</v>
      </c>
      <c r="N21" s="183">
        <f>846-$AD$19</f>
        <v>588</v>
      </c>
      <c r="O21" s="183">
        <v>0</v>
      </c>
      <c r="P21" s="183">
        <v>0</v>
      </c>
      <c r="Q21" s="183">
        <v>0</v>
      </c>
      <c r="R21" s="183">
        <f t="shared" si="2"/>
        <v>19.278688524590162</v>
      </c>
      <c r="S21" s="184">
        <v>100000</v>
      </c>
      <c r="T21" s="184"/>
      <c r="U21" s="184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87" t="s">
        <v>4349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87" t="s">
        <v>4350</v>
      </c>
      <c r="N22" s="187">
        <f>547-$AD$19</f>
        <v>289</v>
      </c>
      <c r="O22" s="187">
        <v>0</v>
      </c>
      <c r="P22" s="187">
        <v>0</v>
      </c>
      <c r="Q22" s="187">
        <v>0</v>
      </c>
      <c r="R22" s="187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3" t="s">
        <v>4280</v>
      </c>
      <c r="B23" s="184">
        <f t="shared" si="14"/>
        <v>80544.185232637843</v>
      </c>
      <c r="C23" s="184">
        <f>$S23/(1+($C$1-$O23+$P23)/36500)^$N23</f>
        <v>83380.481545894218</v>
      </c>
      <c r="D23" s="184">
        <f t="shared" si="5"/>
        <v>83741.992600983838</v>
      </c>
      <c r="E23" s="184">
        <f t="shared" si="6"/>
        <v>84105.076033865858</v>
      </c>
      <c r="F23" s="184">
        <f t="shared" si="7"/>
        <v>84469.738705210722</v>
      </c>
      <c r="G23" s="184">
        <f t="shared" si="8"/>
        <v>84835.987505700788</v>
      </c>
      <c r="H23" s="184">
        <f t="shared" si="9"/>
        <v>85203.829356196904</v>
      </c>
      <c r="I23" s="184">
        <f t="shared" si="10"/>
        <v>85573.271207839774</v>
      </c>
      <c r="J23" s="184">
        <f t="shared" si="11"/>
        <v>85944.320042202409</v>
      </c>
      <c r="K23" s="184">
        <f t="shared" si="12"/>
        <v>86316.982871428612</v>
      </c>
      <c r="L23" s="184">
        <f t="shared" si="1"/>
        <v>84105.076033865858</v>
      </c>
      <c r="M23" s="183" t="s">
        <v>4281</v>
      </c>
      <c r="N23" s="183">
        <f>574-$AD$19</f>
        <v>316</v>
      </c>
      <c r="O23" s="183">
        <v>0</v>
      </c>
      <c r="P23" s="183"/>
      <c r="Q23" s="183">
        <v>0</v>
      </c>
      <c r="R23" s="183">
        <f t="shared" si="2"/>
        <v>10.360655737704919</v>
      </c>
      <c r="S23" s="184">
        <v>100000</v>
      </c>
      <c r="T23" s="184"/>
      <c r="U23" s="184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4229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4237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4230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4238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3" t="s">
        <v>1003</v>
      </c>
      <c r="B26" s="184">
        <f t="shared" si="14"/>
        <v>76608.387094321617</v>
      </c>
      <c r="C26" s="184">
        <f t="shared" si="16"/>
        <v>86791.27684456823</v>
      </c>
      <c r="D26" s="184">
        <f t="shared" si="5"/>
        <v>88155.91653347385</v>
      </c>
      <c r="E26" s="184">
        <f t="shared" si="6"/>
        <v>89542.031907794983</v>
      </c>
      <c r="F26" s="184">
        <f t="shared" si="7"/>
        <v>90949.961236987176</v>
      </c>
      <c r="G26" s="184">
        <f t="shared" si="8"/>
        <v>92380.048123502231</v>
      </c>
      <c r="H26" s="184">
        <f t="shared" si="9"/>
        <v>93832.641586874553</v>
      </c>
      <c r="I26" s="184">
        <f t="shared" si="10"/>
        <v>95308.096149068151</v>
      </c>
      <c r="J26" s="184">
        <f t="shared" si="11"/>
        <v>96806.771921588792</v>
      </c>
      <c r="K26" s="184">
        <f t="shared" si="12"/>
        <v>98329.034693387526</v>
      </c>
      <c r="L26" s="184">
        <f t="shared" si="1"/>
        <v>89542.031907794983</v>
      </c>
      <c r="M26" s="183" t="s">
        <v>1004</v>
      </c>
      <c r="N26" s="183">
        <f>1397-$AD$19</f>
        <v>1139</v>
      </c>
      <c r="O26" s="183">
        <v>17</v>
      </c>
      <c r="P26" s="183">
        <f>$AI$2</f>
        <v>0.54</v>
      </c>
      <c r="Q26" s="183">
        <v>6</v>
      </c>
      <c r="R26" s="183">
        <f t="shared" si="2"/>
        <v>37.344262295081968</v>
      </c>
      <c r="S26" s="184">
        <v>100000</v>
      </c>
      <c r="T26" s="184">
        <v>96000</v>
      </c>
      <c r="U26" s="184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3" t="s">
        <v>995</v>
      </c>
      <c r="B37" s="184">
        <f t="shared" si="14"/>
        <v>94492.054919304806</v>
      </c>
      <c r="C37" s="184">
        <f t="shared" si="16"/>
        <v>100000</v>
      </c>
      <c r="D37" s="184">
        <f t="shared" si="5"/>
        <v>100710.73786634975</v>
      </c>
      <c r="E37" s="184">
        <f t="shared" si="6"/>
        <v>101426.53705614226</v>
      </c>
      <c r="F37" s="184">
        <f t="shared" si="7"/>
        <v>102147.43368228078</v>
      </c>
      <c r="G37" s="184">
        <f t="shared" si="8"/>
        <v>102873.46411580827</v>
      </c>
      <c r="H37" s="184">
        <f t="shared" si="9"/>
        <v>103604.66498782684</v>
      </c>
      <c r="I37" s="184">
        <f t="shared" si="10"/>
        <v>104341.07319128426</v>
      </c>
      <c r="J37" s="184">
        <f t="shared" si="11"/>
        <v>105082.72588289958</v>
      </c>
      <c r="K37" s="184">
        <f t="shared" si="12"/>
        <v>105829.66048502472</v>
      </c>
      <c r="L37" s="184">
        <f t="shared" si="1"/>
        <v>101426.53705614226</v>
      </c>
      <c r="M37" s="183" t="s">
        <v>996</v>
      </c>
      <c r="N37" s="183">
        <f>775-$AD$19</f>
        <v>517</v>
      </c>
      <c r="O37" s="183">
        <v>21</v>
      </c>
      <c r="P37" s="183">
        <v>0</v>
      </c>
      <c r="Q37" s="183">
        <v>1</v>
      </c>
      <c r="R37" s="183">
        <f t="shared" si="2"/>
        <v>16.950819672131146</v>
      </c>
      <c r="S37" s="184">
        <v>100000</v>
      </c>
      <c r="T37" s="184">
        <v>104000</v>
      </c>
      <c r="U37" s="184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7" t="s">
        <v>4035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3784</v>
      </c>
      <c r="E53">
        <v>0.49</v>
      </c>
      <c r="AD53" s="25"/>
      <c r="AE53" s="26"/>
    </row>
    <row r="54" spans="1:31">
      <c r="D54" t="s">
        <v>3785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4221</v>
      </c>
      <c r="AD63" s="25"/>
      <c r="AE63" s="26"/>
    </row>
    <row r="64" spans="1:31">
      <c r="A64">
        <v>611</v>
      </c>
      <c r="B64" t="s">
        <v>4213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4214</v>
      </c>
      <c r="AD66" s="25"/>
      <c r="AE66" s="26"/>
    </row>
    <row r="67" spans="1:31">
      <c r="A67">
        <v>702</v>
      </c>
      <c r="B67" t="s">
        <v>4215</v>
      </c>
      <c r="AD67" s="25"/>
      <c r="AE67" s="26"/>
    </row>
    <row r="68" spans="1:31">
      <c r="A68">
        <v>704</v>
      </c>
      <c r="B68" t="s">
        <v>4216</v>
      </c>
      <c r="AD68" s="25"/>
      <c r="AE68" s="26"/>
    </row>
    <row r="69" spans="1:31">
      <c r="A69">
        <v>705</v>
      </c>
      <c r="B69" t="s">
        <v>4217</v>
      </c>
      <c r="AD69" s="25"/>
      <c r="AE69" s="26"/>
    </row>
    <row r="70" spans="1:31">
      <c r="A70">
        <v>706</v>
      </c>
      <c r="B70" t="s">
        <v>4218</v>
      </c>
      <c r="AD70" s="25"/>
      <c r="AE70" s="26"/>
    </row>
    <row r="71" spans="1:31">
      <c r="A71" s="25">
        <v>711</v>
      </c>
      <c r="B71" s="25" t="s">
        <v>4219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4220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topLeftCell="L1" workbookViewId="0">
      <selection activeCell="B10" sqref="B10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1240</v>
      </c>
      <c r="G1" s="99" t="s">
        <v>1241</v>
      </c>
      <c r="I1" s="99" t="s">
        <v>1162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3956</v>
      </c>
      <c r="J2" s="99" t="s">
        <v>3685</v>
      </c>
      <c r="L2" s="99" t="s">
        <v>3694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1133</v>
      </c>
      <c r="J3" s="99" t="s">
        <v>3686</v>
      </c>
      <c r="L3" s="99" t="s">
        <v>3695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3681</v>
      </c>
      <c r="J4" s="99" t="s">
        <v>3682</v>
      </c>
      <c r="L4" s="99" t="s">
        <v>3701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1292.9000000000001</v>
      </c>
      <c r="C5" s="99"/>
      <c r="D5" s="99"/>
      <c r="F5" s="132">
        <v>0.2</v>
      </c>
      <c r="G5" s="132">
        <v>0.46</v>
      </c>
      <c r="I5" s="99"/>
      <c r="J5" s="99"/>
      <c r="L5" s="99" t="s">
        <v>3705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13800</v>
      </c>
      <c r="C6" s="99"/>
      <c r="D6" s="99"/>
      <c r="F6" s="132">
        <v>0.25</v>
      </c>
      <c r="G6" s="132">
        <v>0.61</v>
      </c>
      <c r="I6" s="99"/>
      <c r="J6" s="99"/>
      <c r="L6" s="99" t="s">
        <v>3708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1117</v>
      </c>
      <c r="B7" s="99">
        <v>5000</v>
      </c>
      <c r="C7" s="99"/>
      <c r="D7" s="99"/>
      <c r="F7" s="132">
        <v>0.5</v>
      </c>
      <c r="G7" s="132">
        <v>1.36</v>
      </c>
      <c r="I7" s="99" t="s">
        <v>3683</v>
      </c>
      <c r="J7" s="99" t="s">
        <v>3676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4252</v>
      </c>
      <c r="B8" s="95">
        <f>B2*B4*B5*B6/(B1*B3)+B7</f>
        <v>4204300.1219935687</v>
      </c>
      <c r="C8" s="99">
        <f>B2*B4*B5/(B1*B3)+B7/B6</f>
        <v>304.65942912996877</v>
      </c>
      <c r="D8" s="99" t="s">
        <v>4255</v>
      </c>
      <c r="I8" s="99" t="s">
        <v>3881</v>
      </c>
      <c r="J8" s="99" t="s">
        <v>3677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4253</v>
      </c>
      <c r="B9" s="95">
        <v>4800000</v>
      </c>
      <c r="C9" s="99"/>
      <c r="D9" s="99"/>
      <c r="I9" s="99" t="s">
        <v>3687</v>
      </c>
      <c r="J9" s="99" t="s">
        <v>3688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4254</v>
      </c>
      <c r="B10" s="95">
        <f>B9-B8</f>
        <v>595699.87800643127</v>
      </c>
      <c r="C10" s="99"/>
      <c r="D10" s="99"/>
      <c r="I10" s="59">
        <v>35679</v>
      </c>
      <c r="J10" s="69" t="s">
        <v>3719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4165</v>
      </c>
      <c r="J11" s="69" t="s">
        <v>4164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3689</v>
      </c>
      <c r="J13" s="99" t="s">
        <v>3690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3882</v>
      </c>
      <c r="J14" s="99" t="s">
        <v>3680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3691</v>
      </c>
      <c r="J16" s="99" t="s">
        <v>3692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3684</v>
      </c>
      <c r="J17" s="99" t="s">
        <v>3693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3720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42" t="s">
        <v>1089</v>
      </c>
      <c r="R21" s="242"/>
      <c r="S21" s="242"/>
      <c r="T21" s="242"/>
      <c r="U21" s="96"/>
      <c r="V21" s="96"/>
      <c r="W21" s="96"/>
      <c r="X21" s="96"/>
      <c r="Y21" s="96"/>
      <c r="Z21" s="96"/>
    </row>
    <row r="22" spans="5:35">
      <c r="O22" s="99"/>
      <c r="P22" s="99"/>
      <c r="Q22" s="242"/>
      <c r="R22" s="242"/>
      <c r="S22" s="242"/>
      <c r="T22" s="242"/>
      <c r="U22" s="96"/>
      <c r="V22" s="96"/>
      <c r="W22" s="96"/>
      <c r="X22" s="96"/>
      <c r="Y22" s="96"/>
      <c r="Z22" s="96"/>
    </row>
    <row r="23" spans="5:35" ht="15.75">
      <c r="O23" s="178"/>
      <c r="P23" s="99" t="s">
        <v>4086</v>
      </c>
      <c r="Q23" s="243" t="s">
        <v>1090</v>
      </c>
      <c r="R23" s="244" t="s">
        <v>1091</v>
      </c>
      <c r="S23" s="243" t="s">
        <v>1092</v>
      </c>
      <c r="T23" s="245" t="s">
        <v>1093</v>
      </c>
      <c r="AD23" t="s">
        <v>25</v>
      </c>
    </row>
    <row r="24" spans="5:35">
      <c r="O24" s="99"/>
      <c r="P24" s="99"/>
      <c r="Q24" s="243"/>
      <c r="R24" s="244"/>
      <c r="S24" s="243"/>
      <c r="T24" s="245"/>
    </row>
    <row r="25" spans="5:35">
      <c r="O25" s="173" t="s">
        <v>4142</v>
      </c>
      <c r="P25" s="173">
        <v>2182188507</v>
      </c>
      <c r="Q25" s="174" t="s">
        <v>1094</v>
      </c>
      <c r="R25" s="174" t="s">
        <v>4087</v>
      </c>
      <c r="S25" s="174" t="s">
        <v>4092</v>
      </c>
      <c r="T25" s="174" t="s">
        <v>1095</v>
      </c>
    </row>
    <row r="26" spans="5:35">
      <c r="O26" s="173"/>
      <c r="P26" s="173">
        <v>2123095122</v>
      </c>
      <c r="Q26" s="175" t="s">
        <v>1096</v>
      </c>
      <c r="R26" s="175" t="s">
        <v>1097</v>
      </c>
      <c r="S26" s="175" t="s">
        <v>1098</v>
      </c>
      <c r="T26" s="175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3" t="s">
        <v>4203</v>
      </c>
      <c r="P27" s="173">
        <v>2188831909</v>
      </c>
      <c r="Q27" s="99" t="s">
        <v>4089</v>
      </c>
      <c r="R27" s="99" t="s">
        <v>4090</v>
      </c>
      <c r="S27" s="99" t="s">
        <v>4091</v>
      </c>
      <c r="T27" s="176" t="s">
        <v>4093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4079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3878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3854</v>
      </c>
      <c r="B90" s="99" t="s">
        <v>3877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3855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3856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3857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3858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3859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3860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3861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3862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3863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3864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3865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3866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3867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3868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3869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3870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3871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3872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3873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3874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3875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3876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2"/>
  <sheetViews>
    <sheetView workbookViewId="0">
      <pane ySplit="1" topLeftCell="A271" activePane="bottomLeft" state="frozen"/>
      <selection pane="bottomLeft" activeCell="C273" sqref="C273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965</v>
      </c>
      <c r="E2" s="11">
        <f>IF(B2&gt;0,1,0)</f>
        <v>1</v>
      </c>
      <c r="F2" s="11">
        <f>B2*(D2-E2)</f>
        <v>93218800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963</v>
      </c>
      <c r="E3" s="11">
        <f t="shared" ref="E3:E66" si="1">IF(B3&gt;0,1,0)</f>
        <v>1</v>
      </c>
      <c r="F3" s="11">
        <f t="shared" ref="F3:F66" si="2">B3*(D3-E3)</f>
        <v>2886000000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960</v>
      </c>
      <c r="E4" s="11">
        <f t="shared" si="1"/>
        <v>0</v>
      </c>
      <c r="F4" s="11">
        <f t="shared" si="2"/>
        <v>-192000000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958</v>
      </c>
      <c r="E5" s="11">
        <f t="shared" si="1"/>
        <v>0</v>
      </c>
      <c r="F5" s="11">
        <f t="shared" si="2"/>
        <v>-95800000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957</v>
      </c>
      <c r="E6" s="11">
        <f t="shared" si="1"/>
        <v>0</v>
      </c>
      <c r="F6" s="11">
        <f t="shared" si="2"/>
        <v>-52635000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956</v>
      </c>
      <c r="E7" s="11">
        <f t="shared" si="1"/>
        <v>0</v>
      </c>
      <c r="F7" s="11">
        <f t="shared" si="2"/>
        <v>-191200000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952</v>
      </c>
      <c r="E8" s="11">
        <f t="shared" si="1"/>
        <v>0</v>
      </c>
      <c r="F8" s="11">
        <f t="shared" si="2"/>
        <v>-190400000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942</v>
      </c>
      <c r="E9" s="11">
        <f t="shared" si="1"/>
        <v>0</v>
      </c>
      <c r="F9" s="11">
        <f t="shared" si="2"/>
        <v>-895371000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941</v>
      </c>
      <c r="E10" s="11">
        <f t="shared" si="1"/>
        <v>1</v>
      </c>
      <c r="F10" s="11">
        <f t="shared" si="2"/>
        <v>1880000000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939</v>
      </c>
      <c r="E11" s="11">
        <f t="shared" si="1"/>
        <v>0</v>
      </c>
      <c r="F11" s="11">
        <f t="shared" si="2"/>
        <v>-1000035000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936</v>
      </c>
      <c r="E12" s="11">
        <f t="shared" si="1"/>
        <v>0</v>
      </c>
      <c r="F12" s="11">
        <f t="shared" si="2"/>
        <v>-42120000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935</v>
      </c>
      <c r="E13" s="11">
        <f t="shared" si="1"/>
        <v>0</v>
      </c>
      <c r="F13" s="11">
        <f t="shared" si="2"/>
        <v>-1870654500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931</v>
      </c>
      <c r="E14" s="11">
        <f t="shared" si="1"/>
        <v>0</v>
      </c>
      <c r="F14" s="11">
        <f t="shared" si="2"/>
        <v>-186200000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929</v>
      </c>
      <c r="E15" s="11">
        <f t="shared" si="1"/>
        <v>1</v>
      </c>
      <c r="F15" s="11">
        <f t="shared" si="2"/>
        <v>1856000000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929</v>
      </c>
      <c r="E16" s="11">
        <f t="shared" si="1"/>
        <v>1</v>
      </c>
      <c r="F16" s="11">
        <f t="shared" si="2"/>
        <v>1856000000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929</v>
      </c>
      <c r="E17" s="11">
        <f t="shared" si="1"/>
        <v>1</v>
      </c>
      <c r="F17" s="11">
        <f t="shared" si="2"/>
        <v>1113600000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929</v>
      </c>
      <c r="E18" s="11">
        <f t="shared" si="1"/>
        <v>1</v>
      </c>
      <c r="F18" s="11">
        <f t="shared" si="2"/>
        <v>928000000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928</v>
      </c>
      <c r="E19" s="11">
        <f t="shared" si="1"/>
        <v>1</v>
      </c>
      <c r="F19" s="11">
        <f t="shared" si="2"/>
        <v>2781000000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928</v>
      </c>
      <c r="E20" s="11">
        <f t="shared" si="1"/>
        <v>0</v>
      </c>
      <c r="F20" s="11">
        <f t="shared" si="2"/>
        <v>-401545600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928</v>
      </c>
      <c r="E21" s="11">
        <f t="shared" si="1"/>
        <v>0</v>
      </c>
      <c r="F21" s="11">
        <f t="shared" si="2"/>
        <v>-401545600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928</v>
      </c>
      <c r="E22" s="11">
        <f t="shared" si="1"/>
        <v>0</v>
      </c>
      <c r="F22" s="11">
        <f t="shared" si="2"/>
        <v>-401545600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928</v>
      </c>
      <c r="E23" s="11">
        <f t="shared" si="1"/>
        <v>0</v>
      </c>
      <c r="F23" s="11">
        <f t="shared" si="2"/>
        <v>-401545600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928</v>
      </c>
      <c r="E24" s="11">
        <f t="shared" si="1"/>
        <v>0</v>
      </c>
      <c r="F24" s="11">
        <f t="shared" si="2"/>
        <v>-401545600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928</v>
      </c>
      <c r="E25" s="11">
        <f t="shared" si="1"/>
        <v>0</v>
      </c>
      <c r="F25" s="11">
        <f t="shared" si="2"/>
        <v>-185600000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927</v>
      </c>
      <c r="E26" s="11">
        <f t="shared" si="1"/>
        <v>1</v>
      </c>
      <c r="F26" s="11">
        <f t="shared" si="2"/>
        <v>2778000000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925</v>
      </c>
      <c r="E27" s="11">
        <f t="shared" si="1"/>
        <v>0</v>
      </c>
      <c r="F27" s="11">
        <f t="shared" si="2"/>
        <v>-185000000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924</v>
      </c>
      <c r="E28" s="11">
        <f t="shared" si="1"/>
        <v>1</v>
      </c>
      <c r="F28" s="11">
        <f t="shared" si="2"/>
        <v>1846000000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923</v>
      </c>
      <c r="E29" s="11">
        <f t="shared" si="1"/>
        <v>0</v>
      </c>
      <c r="F29" s="11">
        <f t="shared" si="2"/>
        <v>-6461738400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922</v>
      </c>
      <c r="E30" s="11">
        <f t="shared" si="1"/>
        <v>0</v>
      </c>
      <c r="F30" s="11">
        <f t="shared" si="2"/>
        <v>-2766829800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921</v>
      </c>
      <c r="E31" s="11">
        <f t="shared" si="1"/>
        <v>0</v>
      </c>
      <c r="F31" s="11">
        <f t="shared" si="2"/>
        <v>-1561923900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918</v>
      </c>
      <c r="E32" s="11">
        <f t="shared" si="1"/>
        <v>1</v>
      </c>
      <c r="F32" s="11">
        <f t="shared" si="2"/>
        <v>911773100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912</v>
      </c>
      <c r="E33" s="11">
        <f t="shared" si="1"/>
        <v>1</v>
      </c>
      <c r="F33" s="11">
        <f t="shared" si="2"/>
        <v>31967901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911</v>
      </c>
      <c r="E34" s="11">
        <f t="shared" si="1"/>
        <v>0</v>
      </c>
      <c r="F34" s="11">
        <f t="shared" si="2"/>
        <v>-774350000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903</v>
      </c>
      <c r="E35" s="11">
        <f t="shared" si="1"/>
        <v>0</v>
      </c>
      <c r="F35" s="11">
        <f t="shared" si="2"/>
        <v>-172021500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902</v>
      </c>
      <c r="E36" s="11">
        <f t="shared" si="1"/>
        <v>1</v>
      </c>
      <c r="F36" s="11">
        <f t="shared" si="2"/>
        <v>180200000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902</v>
      </c>
      <c r="E37" s="11">
        <f t="shared" si="1"/>
        <v>0</v>
      </c>
      <c r="F37" s="11">
        <f t="shared" si="2"/>
        <v>-180400000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880</v>
      </c>
      <c r="E38" s="11">
        <f t="shared" si="1"/>
        <v>1</v>
      </c>
      <c r="F38" s="11">
        <f t="shared" si="2"/>
        <v>264408474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879</v>
      </c>
      <c r="E39" s="11">
        <f t="shared" si="1"/>
        <v>0</v>
      </c>
      <c r="F39" s="11">
        <f t="shared" si="2"/>
        <v>-83505000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879</v>
      </c>
      <c r="E40" s="11">
        <f t="shared" si="1"/>
        <v>0</v>
      </c>
      <c r="F40" s="11">
        <f t="shared" si="2"/>
        <v>-77442537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874</v>
      </c>
      <c r="E41" s="11">
        <f t="shared" si="1"/>
        <v>0</v>
      </c>
      <c r="F41" s="11">
        <f t="shared" si="2"/>
        <v>-104880000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852</v>
      </c>
      <c r="E42" s="11">
        <f t="shared" si="1"/>
        <v>1</v>
      </c>
      <c r="F42" s="11">
        <f t="shared" si="2"/>
        <v>851173604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848</v>
      </c>
      <c r="E43" s="11">
        <f t="shared" si="1"/>
        <v>0</v>
      </c>
      <c r="F43" s="11">
        <f t="shared" si="2"/>
        <v>-67840000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844</v>
      </c>
      <c r="E44" s="11">
        <f t="shared" si="1"/>
        <v>0</v>
      </c>
      <c r="F44" s="11">
        <f t="shared" si="2"/>
        <v>-178108476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843</v>
      </c>
      <c r="E45" s="11">
        <f t="shared" si="1"/>
        <v>0</v>
      </c>
      <c r="F45" s="11">
        <f t="shared" si="2"/>
        <v>-168600000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842</v>
      </c>
      <c r="E46" s="11">
        <f t="shared" si="1"/>
        <v>0</v>
      </c>
      <c r="F46" s="11">
        <f t="shared" si="2"/>
        <v>-79990000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840</v>
      </c>
      <c r="E47" s="11">
        <f t="shared" si="1"/>
        <v>0</v>
      </c>
      <c r="F47" s="11">
        <f t="shared" si="2"/>
        <v>-37800000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840</v>
      </c>
      <c r="E48" s="11">
        <f t="shared" si="1"/>
        <v>0</v>
      </c>
      <c r="F48" s="11">
        <f t="shared" si="2"/>
        <v>-53911200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837</v>
      </c>
      <c r="E49" s="11">
        <f t="shared" si="1"/>
        <v>0</v>
      </c>
      <c r="F49" s="11">
        <f t="shared" si="2"/>
        <v>-23004108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836</v>
      </c>
      <c r="E50" s="11">
        <f t="shared" si="1"/>
        <v>0</v>
      </c>
      <c r="F50" s="11">
        <f t="shared" si="2"/>
        <v>-117876000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836</v>
      </c>
      <c r="E51" s="11">
        <f t="shared" si="1"/>
        <v>0</v>
      </c>
      <c r="F51" s="11">
        <f t="shared" si="2"/>
        <v>-22359656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835</v>
      </c>
      <c r="E52" s="11">
        <f t="shared" si="1"/>
        <v>0</v>
      </c>
      <c r="F52" s="11">
        <f t="shared" si="2"/>
        <v>-44505500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834</v>
      </c>
      <c r="E53" s="11">
        <f t="shared" si="1"/>
        <v>1</v>
      </c>
      <c r="F53" s="11">
        <f t="shared" si="2"/>
        <v>833000000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828</v>
      </c>
      <c r="E54" s="11">
        <f t="shared" si="1"/>
        <v>0</v>
      </c>
      <c r="F54" s="11">
        <f t="shared" si="2"/>
        <v>-17388000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827</v>
      </c>
      <c r="E55" s="11">
        <f t="shared" si="1"/>
        <v>0</v>
      </c>
      <c r="F55" s="11">
        <f t="shared" si="2"/>
        <v>-810873500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827</v>
      </c>
      <c r="E56" s="11">
        <f t="shared" si="1"/>
        <v>0</v>
      </c>
      <c r="F56" s="11">
        <f t="shared" si="2"/>
        <v>-37215000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814</v>
      </c>
      <c r="E57" s="11">
        <f t="shared" si="1"/>
        <v>1</v>
      </c>
      <c r="F57" s="11">
        <f t="shared" si="2"/>
        <v>2443218657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814</v>
      </c>
      <c r="E58" s="11">
        <f t="shared" si="1"/>
        <v>1</v>
      </c>
      <c r="F58" s="11">
        <f t="shared" si="2"/>
        <v>1626000000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813</v>
      </c>
      <c r="E59" s="11">
        <f t="shared" si="1"/>
        <v>1</v>
      </c>
      <c r="F59" s="11">
        <f t="shared" si="2"/>
        <v>1624000000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813</v>
      </c>
      <c r="E60" s="11">
        <f t="shared" si="1"/>
        <v>0</v>
      </c>
      <c r="F60" s="11">
        <f t="shared" si="2"/>
        <v>-5692219500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789</v>
      </c>
      <c r="E61" s="11">
        <f t="shared" si="1"/>
        <v>1</v>
      </c>
      <c r="F61" s="11">
        <f t="shared" si="2"/>
        <v>2364000000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788</v>
      </c>
      <c r="E62" s="11">
        <f t="shared" si="1"/>
        <v>0</v>
      </c>
      <c r="F62" s="11">
        <f t="shared" si="2"/>
        <v>-21361892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788</v>
      </c>
      <c r="E63" s="11">
        <f t="shared" si="1"/>
        <v>0</v>
      </c>
      <c r="F63" s="11">
        <f t="shared" si="2"/>
        <v>-25995332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788</v>
      </c>
      <c r="E64" s="11">
        <f t="shared" si="1"/>
        <v>1</v>
      </c>
      <c r="F64" s="11">
        <f t="shared" si="2"/>
        <v>2361000000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788</v>
      </c>
      <c r="E65" s="11">
        <f t="shared" si="1"/>
        <v>1</v>
      </c>
      <c r="F65" s="11">
        <f t="shared" si="2"/>
        <v>2337390000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788</v>
      </c>
      <c r="E66" s="11">
        <f t="shared" si="1"/>
        <v>1</v>
      </c>
      <c r="F66" s="11">
        <f t="shared" si="2"/>
        <v>787000000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788</v>
      </c>
      <c r="E67" s="11">
        <f t="shared" ref="E67:E130" si="4">IF(B67&gt;0,1,0)</f>
        <v>1</v>
      </c>
      <c r="F67" s="11">
        <f t="shared" ref="F67:F248" si="5">B67*(D67-E67)</f>
        <v>23610000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787</v>
      </c>
      <c r="E68" s="11">
        <f t="shared" si="4"/>
        <v>1</v>
      </c>
      <c r="F68" s="11">
        <f t="shared" si="5"/>
        <v>23580000000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786</v>
      </c>
      <c r="E69" s="11">
        <f t="shared" si="4"/>
        <v>0</v>
      </c>
      <c r="F69" s="11">
        <f t="shared" si="5"/>
        <v>-157200000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786</v>
      </c>
      <c r="E70" s="11">
        <f t="shared" si="4"/>
        <v>1</v>
      </c>
      <c r="F70" s="11">
        <f t="shared" si="5"/>
        <v>1099000000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786</v>
      </c>
      <c r="E71" s="11">
        <f t="shared" si="4"/>
        <v>1</v>
      </c>
      <c r="F71" s="11">
        <f t="shared" si="5"/>
        <v>2041000000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786</v>
      </c>
      <c r="E72" s="11">
        <f t="shared" si="4"/>
        <v>0</v>
      </c>
      <c r="F72" s="11">
        <f t="shared" si="5"/>
        <v>-786000000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784</v>
      </c>
      <c r="E73" s="11">
        <f t="shared" si="4"/>
        <v>1</v>
      </c>
      <c r="F73" s="11">
        <f t="shared" si="5"/>
        <v>11745000000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779</v>
      </c>
      <c r="E74" s="11">
        <f t="shared" si="4"/>
        <v>0</v>
      </c>
      <c r="F74" s="11">
        <f t="shared" si="5"/>
        <v>-11688271800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777</v>
      </c>
      <c r="E75" s="11">
        <f t="shared" si="4"/>
        <v>0</v>
      </c>
      <c r="F75" s="11">
        <f t="shared" si="5"/>
        <v>-2331000000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777</v>
      </c>
      <c r="E76" s="11">
        <f t="shared" si="4"/>
        <v>0</v>
      </c>
      <c r="F76" s="11">
        <f t="shared" si="5"/>
        <v>-155400000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777</v>
      </c>
      <c r="E77" s="11">
        <f t="shared" si="4"/>
        <v>0</v>
      </c>
      <c r="F77" s="11">
        <f t="shared" si="5"/>
        <v>-9326331000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773</v>
      </c>
      <c r="E78" s="11">
        <f t="shared" si="4"/>
        <v>0</v>
      </c>
      <c r="F78" s="11">
        <f t="shared" si="5"/>
        <v>-2319695700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768</v>
      </c>
      <c r="E79" s="11">
        <f t="shared" si="4"/>
        <v>1</v>
      </c>
      <c r="F79" s="11">
        <f t="shared" si="5"/>
        <v>17641000000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763</v>
      </c>
      <c r="E80" s="11">
        <f t="shared" si="4"/>
        <v>0</v>
      </c>
      <c r="F80" s="11">
        <f t="shared" si="5"/>
        <v>-458181500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763</v>
      </c>
      <c r="E81" s="11">
        <f t="shared" si="4"/>
        <v>0</v>
      </c>
      <c r="F81" s="11">
        <f t="shared" si="5"/>
        <v>-152600000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762</v>
      </c>
      <c r="E82" s="11">
        <f t="shared" si="4"/>
        <v>1</v>
      </c>
      <c r="F82" s="11">
        <f t="shared" si="5"/>
        <v>215531181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762</v>
      </c>
      <c r="E83" s="11">
        <f t="shared" si="4"/>
        <v>0</v>
      </c>
      <c r="F83" s="11">
        <f t="shared" si="5"/>
        <v>-152400000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760</v>
      </c>
      <c r="E84" s="11">
        <f t="shared" si="4"/>
        <v>1</v>
      </c>
      <c r="F84" s="11">
        <f t="shared" si="5"/>
        <v>1518000000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757</v>
      </c>
      <c r="E85" s="11">
        <f t="shared" si="4"/>
        <v>0</v>
      </c>
      <c r="F85" s="11">
        <f t="shared" si="5"/>
        <v>-151400000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751</v>
      </c>
      <c r="E86" s="11">
        <f t="shared" si="4"/>
        <v>0</v>
      </c>
      <c r="F86" s="11">
        <f t="shared" si="5"/>
        <v>-150200000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749</v>
      </c>
      <c r="E87" s="11">
        <f t="shared" si="4"/>
        <v>0</v>
      </c>
      <c r="F87" s="11">
        <f t="shared" si="5"/>
        <v>-992425000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734</v>
      </c>
      <c r="E88" s="11">
        <f t="shared" si="4"/>
        <v>0</v>
      </c>
      <c r="F88" s="11">
        <f t="shared" si="5"/>
        <v>-367000000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734</v>
      </c>
      <c r="E89" s="11">
        <f t="shared" si="4"/>
        <v>0</v>
      </c>
      <c r="F89" s="11">
        <f t="shared" si="5"/>
        <v>-88080000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732</v>
      </c>
      <c r="E90" s="11">
        <f t="shared" si="4"/>
        <v>1</v>
      </c>
      <c r="F90" s="11">
        <f t="shared" si="5"/>
        <v>313017855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729</v>
      </c>
      <c r="E91" s="11">
        <f t="shared" si="4"/>
        <v>0</v>
      </c>
      <c r="F91" s="11">
        <f t="shared" si="5"/>
        <v>-2188458000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727</v>
      </c>
      <c r="E92" s="11">
        <f t="shared" si="4"/>
        <v>0</v>
      </c>
      <c r="F92" s="11">
        <f t="shared" si="5"/>
        <v>-149035000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727</v>
      </c>
      <c r="E93" s="11">
        <f t="shared" si="4"/>
        <v>0</v>
      </c>
      <c r="F93" s="11">
        <f t="shared" si="5"/>
        <v>-254813500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716</v>
      </c>
      <c r="E94" s="11">
        <f t="shared" si="4"/>
        <v>1</v>
      </c>
      <c r="F94" s="11">
        <f t="shared" si="5"/>
        <v>715000000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711</v>
      </c>
      <c r="E95" s="11">
        <f t="shared" si="4"/>
        <v>1</v>
      </c>
      <c r="F95" s="11">
        <f t="shared" si="5"/>
        <v>6390000000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709</v>
      </c>
      <c r="E96" s="11">
        <f t="shared" si="4"/>
        <v>0</v>
      </c>
      <c r="F96" s="11">
        <f t="shared" si="5"/>
        <v>-18434000000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709</v>
      </c>
      <c r="E97" s="11">
        <f t="shared" si="4"/>
        <v>0</v>
      </c>
      <c r="F97" s="11">
        <f t="shared" si="5"/>
        <v>-18434000000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709</v>
      </c>
      <c r="E98" s="11">
        <f t="shared" si="4"/>
        <v>1</v>
      </c>
      <c r="F98" s="11">
        <f t="shared" si="5"/>
        <v>18408000000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709</v>
      </c>
      <c r="E99" s="11">
        <f t="shared" si="4"/>
        <v>0</v>
      </c>
      <c r="F99" s="11">
        <f t="shared" si="5"/>
        <v>-141800000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707</v>
      </c>
      <c r="E100" s="11">
        <f t="shared" si="4"/>
        <v>1</v>
      </c>
      <c r="F100" s="11">
        <f t="shared" si="5"/>
        <v>20615200000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702</v>
      </c>
      <c r="E101" s="11">
        <f t="shared" si="4"/>
        <v>1</v>
      </c>
      <c r="F101" s="11">
        <f t="shared" si="5"/>
        <v>280361445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701</v>
      </c>
      <c r="E102" s="11">
        <f t="shared" si="4"/>
        <v>1</v>
      </c>
      <c r="F102" s="11">
        <f t="shared" si="5"/>
        <v>1400000000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700</v>
      </c>
      <c r="E103" s="11">
        <f t="shared" si="4"/>
        <v>1</v>
      </c>
      <c r="F103" s="11">
        <f t="shared" si="5"/>
        <v>5242500000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700</v>
      </c>
      <c r="E104" s="11">
        <f t="shared" si="4"/>
        <v>0</v>
      </c>
      <c r="F104" s="11">
        <f t="shared" si="5"/>
        <v>-46200000000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700</v>
      </c>
      <c r="E105" s="11">
        <f t="shared" si="4"/>
        <v>0</v>
      </c>
      <c r="F105" s="11">
        <f t="shared" si="5"/>
        <v>-101500000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698</v>
      </c>
      <c r="E106" s="11">
        <f t="shared" si="4"/>
        <v>1</v>
      </c>
      <c r="F106" s="11">
        <f t="shared" si="5"/>
        <v>4182000000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696</v>
      </c>
      <c r="E107" s="11">
        <f t="shared" si="4"/>
        <v>0</v>
      </c>
      <c r="F107" s="11">
        <f t="shared" si="5"/>
        <v>-4180106400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693</v>
      </c>
      <c r="E108" s="11">
        <f t="shared" si="4"/>
        <v>1</v>
      </c>
      <c r="F108" s="11">
        <f t="shared" si="5"/>
        <v>4152000000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681</v>
      </c>
      <c r="E109" s="11">
        <f t="shared" si="4"/>
        <v>0</v>
      </c>
      <c r="F109" s="11">
        <f t="shared" si="5"/>
        <v>-81720000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680</v>
      </c>
      <c r="E110" s="11">
        <f t="shared" si="4"/>
        <v>1</v>
      </c>
      <c r="F110" s="11">
        <f t="shared" si="5"/>
        <v>2716000000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679</v>
      </c>
      <c r="E111" s="11">
        <f t="shared" si="4"/>
        <v>1</v>
      </c>
      <c r="F111" s="11">
        <f t="shared" si="5"/>
        <v>1898400000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675</v>
      </c>
      <c r="E112" s="11">
        <f t="shared" si="4"/>
        <v>0</v>
      </c>
      <c r="F112" s="11">
        <f t="shared" si="5"/>
        <v>-135000000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674</v>
      </c>
      <c r="E113" s="11">
        <f t="shared" si="4"/>
        <v>1</v>
      </c>
      <c r="F113" s="11">
        <f t="shared" si="5"/>
        <v>48664630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657</v>
      </c>
      <c r="E114" s="11">
        <f t="shared" si="4"/>
        <v>0</v>
      </c>
      <c r="F114" s="11">
        <f t="shared" si="5"/>
        <v>-131400000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656</v>
      </c>
      <c r="E115" s="11">
        <f t="shared" si="4"/>
        <v>0</v>
      </c>
      <c r="F115" s="23">
        <f t="shared" si="5"/>
        <v>-7216000000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656</v>
      </c>
      <c r="E116" s="11">
        <f t="shared" si="4"/>
        <v>0</v>
      </c>
      <c r="F116" s="11">
        <f t="shared" si="5"/>
        <v>-131200000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654</v>
      </c>
      <c r="E117" s="11">
        <f t="shared" si="4"/>
        <v>0</v>
      </c>
      <c r="F117" s="11">
        <f t="shared" si="5"/>
        <v>-294627000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654</v>
      </c>
      <c r="E118" s="11">
        <f t="shared" si="4"/>
        <v>0</v>
      </c>
      <c r="F118" s="11">
        <f t="shared" si="5"/>
        <v>-130800000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648</v>
      </c>
      <c r="E119" s="11">
        <f t="shared" si="4"/>
        <v>0</v>
      </c>
      <c r="F119" s="11">
        <f t="shared" si="5"/>
        <v>-100148400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648</v>
      </c>
      <c r="E120" s="11">
        <f t="shared" si="4"/>
        <v>0</v>
      </c>
      <c r="F120" s="11">
        <f t="shared" si="5"/>
        <v>-207360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647</v>
      </c>
      <c r="E121" s="11">
        <f t="shared" si="4"/>
        <v>0</v>
      </c>
      <c r="F121" s="11">
        <f t="shared" si="5"/>
        <v>-279504000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641</v>
      </c>
      <c r="E122" s="11">
        <f t="shared" si="4"/>
        <v>1</v>
      </c>
      <c r="F122" s="11">
        <f t="shared" si="5"/>
        <v>47387520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620</v>
      </c>
      <c r="E123" s="11">
        <f t="shared" si="4"/>
        <v>0</v>
      </c>
      <c r="F123" s="11">
        <f t="shared" si="5"/>
        <v>-32240000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579</v>
      </c>
      <c r="E124" s="11">
        <f t="shared" si="4"/>
        <v>1</v>
      </c>
      <c r="F124" s="11">
        <f t="shared" si="5"/>
        <v>686086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578</v>
      </c>
      <c r="E125" s="11">
        <f t="shared" si="4"/>
        <v>1</v>
      </c>
      <c r="F125" s="11">
        <f t="shared" si="5"/>
        <v>1384800000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576</v>
      </c>
      <c r="E126" s="11">
        <f t="shared" si="4"/>
        <v>1</v>
      </c>
      <c r="F126" s="11">
        <f t="shared" si="5"/>
        <v>772110000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576</v>
      </c>
      <c r="E127" s="11">
        <f t="shared" si="4"/>
        <v>1</v>
      </c>
      <c r="F127" s="11">
        <f t="shared" si="5"/>
        <v>772110000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564</v>
      </c>
      <c r="E128" s="11">
        <f t="shared" si="4"/>
        <v>0</v>
      </c>
      <c r="F128" s="11">
        <f t="shared" si="5"/>
        <v>-112800000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562</v>
      </c>
      <c r="E129" s="11">
        <f t="shared" si="4"/>
        <v>0</v>
      </c>
      <c r="F129" s="11">
        <f>B129*(D129-E129)</f>
        <v>-8777316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561</v>
      </c>
      <c r="E130" s="11">
        <f t="shared" si="4"/>
        <v>0</v>
      </c>
      <c r="F130" s="11">
        <f t="shared" si="5"/>
        <v>-112200000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560</v>
      </c>
      <c r="E131" s="11">
        <f t="shared" ref="E131:E248" si="7">IF(B131&gt;0,1,0)</f>
        <v>0</v>
      </c>
      <c r="F131" s="11">
        <f t="shared" si="5"/>
        <v>-112000000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559</v>
      </c>
      <c r="E132" s="11">
        <f t="shared" si="7"/>
        <v>0</v>
      </c>
      <c r="F132" s="11">
        <f t="shared" si="5"/>
        <v>-218010000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559</v>
      </c>
      <c r="E133" s="11">
        <f t="shared" si="7"/>
        <v>0</v>
      </c>
      <c r="F133" s="11">
        <f t="shared" si="5"/>
        <v>-13695500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558</v>
      </c>
      <c r="E134" s="11">
        <f t="shared" si="7"/>
        <v>0</v>
      </c>
      <c r="F134" s="11">
        <f t="shared" si="5"/>
        <v>-53010000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554</v>
      </c>
      <c r="E135" s="11">
        <f t="shared" si="7"/>
        <v>0</v>
      </c>
      <c r="F135" s="11">
        <f t="shared" si="5"/>
        <v>-110800000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552</v>
      </c>
      <c r="E136" s="11">
        <f t="shared" si="7"/>
        <v>1</v>
      </c>
      <c r="F136" s="11">
        <f t="shared" si="5"/>
        <v>27550000000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551</v>
      </c>
      <c r="E137" s="11">
        <f t="shared" si="7"/>
        <v>1</v>
      </c>
      <c r="F137" s="11">
        <f t="shared" si="5"/>
        <v>6600000000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549</v>
      </c>
      <c r="E138" s="11">
        <f t="shared" si="7"/>
        <v>1</v>
      </c>
      <c r="F138" s="11">
        <f t="shared" si="5"/>
        <v>1096000000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548</v>
      </c>
      <c r="E139" s="11">
        <f t="shared" si="7"/>
        <v>1</v>
      </c>
      <c r="F139" s="11">
        <f t="shared" si="5"/>
        <v>47883286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535</v>
      </c>
      <c r="E140" s="11">
        <f t="shared" si="7"/>
        <v>0</v>
      </c>
      <c r="F140" s="11">
        <f t="shared" si="5"/>
        <v>-1605481500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534</v>
      </c>
      <c r="E141" s="11">
        <f t="shared" si="7"/>
        <v>0</v>
      </c>
      <c r="F141" s="11">
        <f t="shared" si="5"/>
        <v>-1602480600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517</v>
      </c>
      <c r="E142" s="11">
        <f t="shared" si="7"/>
        <v>1</v>
      </c>
      <c r="F142" s="11">
        <f t="shared" si="5"/>
        <v>310644900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517</v>
      </c>
      <c r="E143" s="11">
        <f t="shared" si="7"/>
        <v>0</v>
      </c>
      <c r="F143" s="11">
        <f t="shared" si="5"/>
        <v>-23782000000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486</v>
      </c>
      <c r="E144" s="11">
        <f t="shared" si="7"/>
        <v>1</v>
      </c>
      <c r="F144" s="11">
        <f t="shared" si="5"/>
        <v>74741895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485</v>
      </c>
      <c r="E145" s="11">
        <f t="shared" si="7"/>
        <v>1</v>
      </c>
      <c r="F145" s="11">
        <f t="shared" si="5"/>
        <v>1452000000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482</v>
      </c>
      <c r="E146" s="11">
        <f t="shared" si="7"/>
        <v>0</v>
      </c>
      <c r="F146" s="11">
        <f t="shared" si="5"/>
        <v>-96400000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477</v>
      </c>
      <c r="E147" s="11">
        <f t="shared" si="7"/>
        <v>0</v>
      </c>
      <c r="F147" s="11">
        <f t="shared" si="5"/>
        <v>-95400000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476</v>
      </c>
      <c r="E148" s="11">
        <f t="shared" si="7"/>
        <v>0</v>
      </c>
      <c r="F148" s="11">
        <f t="shared" si="5"/>
        <v>-95200000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472</v>
      </c>
      <c r="E149" s="11">
        <f t="shared" si="7"/>
        <v>0</v>
      </c>
      <c r="F149" s="11">
        <f t="shared" si="5"/>
        <v>-94400000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471</v>
      </c>
      <c r="E150" s="11">
        <f t="shared" si="7"/>
        <v>1</v>
      </c>
      <c r="F150" s="11">
        <f t="shared" si="5"/>
        <v>11314498000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469</v>
      </c>
      <c r="E151" s="11">
        <f t="shared" si="7"/>
        <v>0</v>
      </c>
      <c r="F151" s="11">
        <f t="shared" si="5"/>
        <v>-93800000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463</v>
      </c>
      <c r="E152" s="11">
        <f t="shared" si="7"/>
        <v>0</v>
      </c>
      <c r="F152" s="11">
        <f t="shared" si="5"/>
        <v>-13890000000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462</v>
      </c>
      <c r="E153" s="11">
        <f t="shared" si="7"/>
        <v>0</v>
      </c>
      <c r="F153" s="11">
        <f t="shared" si="5"/>
        <v>-24024000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462</v>
      </c>
      <c r="E154" s="11">
        <f t="shared" si="7"/>
        <v>0</v>
      </c>
      <c r="F154" s="11">
        <f t="shared" si="5"/>
        <v>-62832000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457</v>
      </c>
      <c r="E155" s="11">
        <f t="shared" si="7"/>
        <v>1</v>
      </c>
      <c r="F155" s="11">
        <f t="shared" si="5"/>
        <v>1368000000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456</v>
      </c>
      <c r="E156" s="11">
        <f t="shared" si="7"/>
        <v>1</v>
      </c>
      <c r="F156" s="11">
        <f t="shared" si="5"/>
        <v>86041865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456</v>
      </c>
      <c r="E157" s="11">
        <f t="shared" si="7"/>
        <v>1</v>
      </c>
      <c r="F157" s="11">
        <f t="shared" si="5"/>
        <v>11023603500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448</v>
      </c>
      <c r="E158" s="11">
        <f t="shared" si="7"/>
        <v>1</v>
      </c>
      <c r="F158" s="11">
        <f t="shared" si="5"/>
        <v>10859954400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448</v>
      </c>
      <c r="E159" s="11">
        <f t="shared" si="7"/>
        <v>0</v>
      </c>
      <c r="F159" s="11">
        <f t="shared" si="5"/>
        <v>-90048000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443</v>
      </c>
      <c r="E160" s="11">
        <f t="shared" si="7"/>
        <v>0</v>
      </c>
      <c r="F160" s="11">
        <f t="shared" si="5"/>
        <v>-88600000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440</v>
      </c>
      <c r="E161" s="11">
        <f t="shared" si="7"/>
        <v>0</v>
      </c>
      <c r="F161" s="11">
        <f t="shared" si="5"/>
        <v>-88000000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436</v>
      </c>
      <c r="E162" s="11">
        <f t="shared" si="7"/>
        <v>0</v>
      </c>
      <c r="F162" s="11">
        <f t="shared" si="5"/>
        <v>-87200000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433</v>
      </c>
      <c r="E163" s="11">
        <f t="shared" si="7"/>
        <v>0</v>
      </c>
      <c r="F163" s="11">
        <f t="shared" si="5"/>
        <v>-86600000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426</v>
      </c>
      <c r="E164" s="11">
        <f t="shared" si="7"/>
        <v>1</v>
      </c>
      <c r="F164" s="11">
        <f t="shared" si="5"/>
        <v>194511450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423</v>
      </c>
      <c r="E165" s="11">
        <f t="shared" si="7"/>
        <v>1</v>
      </c>
      <c r="F165" s="11">
        <f t="shared" si="5"/>
        <v>1139400000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423</v>
      </c>
      <c r="E166" s="11">
        <f t="shared" si="7"/>
        <v>1</v>
      </c>
      <c r="F166" s="11">
        <f t="shared" si="5"/>
        <v>1055000000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416</v>
      </c>
      <c r="E167" s="11">
        <f t="shared" si="7"/>
        <v>0</v>
      </c>
      <c r="F167" s="11">
        <f t="shared" si="5"/>
        <v>-83200000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414</v>
      </c>
      <c r="E168" s="11">
        <f t="shared" si="7"/>
        <v>0</v>
      </c>
      <c r="F168" s="11">
        <f t="shared" si="5"/>
        <v>-82800000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408</v>
      </c>
      <c r="E169" s="11">
        <f t="shared" si="7"/>
        <v>0</v>
      </c>
      <c r="F169" s="11">
        <f t="shared" si="5"/>
        <v>-81600000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405</v>
      </c>
      <c r="E170" s="11">
        <f t="shared" si="7"/>
        <v>0</v>
      </c>
      <c r="F170" s="11">
        <f t="shared" si="5"/>
        <v>-81000000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405</v>
      </c>
      <c r="E171" s="11">
        <f t="shared" si="7"/>
        <v>1</v>
      </c>
      <c r="F171" s="11">
        <f t="shared" si="5"/>
        <v>1212000000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402</v>
      </c>
      <c r="E172" s="11">
        <f t="shared" si="7"/>
        <v>0</v>
      </c>
      <c r="F172" s="11">
        <f t="shared" si="5"/>
        <v>-80400000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401</v>
      </c>
      <c r="E173" s="11">
        <f t="shared" si="7"/>
        <v>1</v>
      </c>
      <c r="F173" s="11">
        <f t="shared" si="5"/>
        <v>1200000000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400</v>
      </c>
      <c r="E174" s="11">
        <f t="shared" si="7"/>
        <v>1</v>
      </c>
      <c r="F174" s="11">
        <f t="shared" si="5"/>
        <v>798000000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399</v>
      </c>
      <c r="E175" s="11">
        <f t="shared" si="7"/>
        <v>1</v>
      </c>
      <c r="F175" s="11">
        <f t="shared" si="5"/>
        <v>517400000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397</v>
      </c>
      <c r="E176" s="11">
        <f t="shared" si="7"/>
        <v>0</v>
      </c>
      <c r="F176" s="11">
        <f t="shared" si="5"/>
        <v>-79400000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397</v>
      </c>
      <c r="E177" s="11">
        <f t="shared" si="7"/>
        <v>1</v>
      </c>
      <c r="F177" s="11">
        <f t="shared" si="5"/>
        <v>673200000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396</v>
      </c>
      <c r="E178" s="11">
        <f t="shared" si="7"/>
        <v>0</v>
      </c>
      <c r="F178" s="11">
        <f t="shared" si="5"/>
        <v>-79200000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395</v>
      </c>
      <c r="E179" s="11">
        <f t="shared" si="7"/>
        <v>1</v>
      </c>
      <c r="F179" s="11">
        <f t="shared" si="5"/>
        <v>225167848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392</v>
      </c>
      <c r="E180" s="11">
        <f t="shared" si="7"/>
        <v>1</v>
      </c>
      <c r="F180" s="11">
        <f t="shared" si="5"/>
        <v>1173000000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385</v>
      </c>
      <c r="E181" s="11">
        <f t="shared" si="7"/>
        <v>1</v>
      </c>
      <c r="F181" s="11">
        <f t="shared" si="5"/>
        <v>768000000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377</v>
      </c>
      <c r="E182" s="11">
        <f t="shared" si="7"/>
        <v>0</v>
      </c>
      <c r="F182" s="11">
        <f t="shared" si="5"/>
        <v>-829663900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365</v>
      </c>
      <c r="E183" s="11">
        <f t="shared" si="7"/>
        <v>1</v>
      </c>
      <c r="F183" s="11">
        <f t="shared" si="5"/>
        <v>245731668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335</v>
      </c>
      <c r="E184" s="11">
        <f t="shared" si="7"/>
        <v>1</v>
      </c>
      <c r="F184" s="11">
        <f t="shared" si="5"/>
        <v>226118000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320</v>
      </c>
      <c r="E185" s="11">
        <f t="shared" si="7"/>
        <v>0</v>
      </c>
      <c r="F185" s="11">
        <f t="shared" si="5"/>
        <v>-3200000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78" si="8">D187+C186</f>
        <v>315</v>
      </c>
      <c r="E186" s="11">
        <f t="shared" si="7"/>
        <v>0</v>
      </c>
      <c r="F186" s="11">
        <f t="shared" si="5"/>
        <v>-25357500000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310</v>
      </c>
      <c r="E187" s="11">
        <f t="shared" si="7"/>
        <v>0</v>
      </c>
      <c r="F187" s="11">
        <f t="shared" si="5"/>
        <v>-341000000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310</v>
      </c>
      <c r="E188" s="11">
        <f t="shared" si="7"/>
        <v>1</v>
      </c>
      <c r="F188" s="11">
        <f t="shared" si="5"/>
        <v>927000000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309</v>
      </c>
      <c r="E189" s="11">
        <f t="shared" si="7"/>
        <v>1</v>
      </c>
      <c r="F189" s="11">
        <f t="shared" si="5"/>
        <v>616000000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309</v>
      </c>
      <c r="E190" s="11">
        <f t="shared" si="7"/>
        <v>0</v>
      </c>
      <c r="F190" s="11">
        <f t="shared" si="5"/>
        <v>-1545000000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308</v>
      </c>
      <c r="E191" s="11">
        <f t="shared" si="7"/>
        <v>1</v>
      </c>
      <c r="F191" s="11">
        <f t="shared" si="5"/>
        <v>148357136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304</v>
      </c>
      <c r="E192" s="11">
        <f t="shared" si="7"/>
        <v>0</v>
      </c>
      <c r="F192" s="11">
        <f t="shared" si="5"/>
        <v>-35051200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300</v>
      </c>
      <c r="E193" s="11">
        <f t="shared" si="7"/>
        <v>1</v>
      </c>
      <c r="F193" s="11">
        <f t="shared" si="5"/>
        <v>26910000000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293</v>
      </c>
      <c r="E194" s="11">
        <f t="shared" si="7"/>
        <v>1</v>
      </c>
      <c r="F194" s="11">
        <f t="shared" si="5"/>
        <v>15184000000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293</v>
      </c>
      <c r="E195" s="11">
        <f t="shared" si="7"/>
        <v>1</v>
      </c>
      <c r="F195" s="99">
        <f t="shared" si="5"/>
        <v>7300000000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293</v>
      </c>
      <c r="E196" s="99">
        <f t="shared" si="7"/>
        <v>0</v>
      </c>
      <c r="F196" s="99">
        <f t="shared" si="5"/>
        <v>-49224000000</v>
      </c>
      <c r="G196" s="11" t="s">
        <v>1085</v>
      </c>
    </row>
    <row r="197" spans="1:7">
      <c r="A197" s="11" t="s">
        <v>1131</v>
      </c>
      <c r="B197" s="3">
        <v>-165500</v>
      </c>
      <c r="C197" s="11">
        <v>4</v>
      </c>
      <c r="D197" s="99">
        <f t="shared" si="8"/>
        <v>286</v>
      </c>
      <c r="E197" s="99">
        <f t="shared" si="7"/>
        <v>0</v>
      </c>
      <c r="F197" s="99">
        <f t="shared" si="5"/>
        <v>-47333000</v>
      </c>
      <c r="G197" s="11" t="s">
        <v>1132</v>
      </c>
    </row>
    <row r="198" spans="1:7">
      <c r="A198" s="99" t="s">
        <v>1133</v>
      </c>
      <c r="B198" s="113">
        <v>-200000</v>
      </c>
      <c r="C198" s="99">
        <v>0</v>
      </c>
      <c r="D198" s="99">
        <f t="shared" si="8"/>
        <v>282</v>
      </c>
      <c r="E198" s="99">
        <f t="shared" si="7"/>
        <v>0</v>
      </c>
      <c r="F198" s="99">
        <f t="shared" si="5"/>
        <v>-56400000</v>
      </c>
      <c r="G198" s="99" t="s">
        <v>1134</v>
      </c>
    </row>
    <row r="199" spans="1:7">
      <c r="A199" s="99" t="s">
        <v>1133</v>
      </c>
      <c r="B199" s="113">
        <v>-46981</v>
      </c>
      <c r="C199" s="99">
        <v>3</v>
      </c>
      <c r="D199" s="99">
        <f t="shared" si="8"/>
        <v>282</v>
      </c>
      <c r="E199" s="99">
        <f t="shared" si="7"/>
        <v>0</v>
      </c>
      <c r="F199" s="99">
        <f t="shared" si="5"/>
        <v>-13248642</v>
      </c>
      <c r="G199" s="99" t="s">
        <v>871</v>
      </c>
    </row>
    <row r="200" spans="1:7">
      <c r="A200" s="99" t="s">
        <v>1143</v>
      </c>
      <c r="B200" s="113">
        <v>-4650</v>
      </c>
      <c r="C200" s="99">
        <v>2</v>
      </c>
      <c r="D200" s="99">
        <f t="shared" si="8"/>
        <v>279</v>
      </c>
      <c r="E200" s="99">
        <f t="shared" si="7"/>
        <v>0</v>
      </c>
      <c r="F200" s="99">
        <f t="shared" si="5"/>
        <v>-1297350</v>
      </c>
      <c r="G200" s="99" t="s">
        <v>871</v>
      </c>
    </row>
    <row r="201" spans="1:7">
      <c r="A201" s="99" t="s">
        <v>1145</v>
      </c>
      <c r="B201" s="113">
        <v>159828</v>
      </c>
      <c r="C201" s="99">
        <v>3</v>
      </c>
      <c r="D201" s="99">
        <f t="shared" si="8"/>
        <v>277</v>
      </c>
      <c r="E201" s="99">
        <f t="shared" si="7"/>
        <v>1</v>
      </c>
      <c r="F201" s="99">
        <f t="shared" si="5"/>
        <v>44112528</v>
      </c>
      <c r="G201" s="99" t="s">
        <v>510</v>
      </c>
    </row>
    <row r="202" spans="1:7">
      <c r="A202" s="99" t="s">
        <v>1156</v>
      </c>
      <c r="B202" s="113">
        <v>-300500</v>
      </c>
      <c r="C202" s="99">
        <v>0</v>
      </c>
      <c r="D202" s="99">
        <f t="shared" si="8"/>
        <v>274</v>
      </c>
      <c r="E202" s="99">
        <f t="shared" si="7"/>
        <v>0</v>
      </c>
      <c r="F202" s="99">
        <f t="shared" si="5"/>
        <v>-82337000</v>
      </c>
      <c r="G202" s="99" t="s">
        <v>1160</v>
      </c>
    </row>
    <row r="203" spans="1:7">
      <c r="A203" s="99" t="s">
        <v>1156</v>
      </c>
      <c r="B203" s="113">
        <v>6000000</v>
      </c>
      <c r="C203" s="99">
        <v>2</v>
      </c>
      <c r="D203" s="99">
        <f t="shared" si="8"/>
        <v>274</v>
      </c>
      <c r="E203" s="99">
        <f t="shared" si="7"/>
        <v>1</v>
      </c>
      <c r="F203" s="99">
        <f t="shared" si="5"/>
        <v>1638000000</v>
      </c>
      <c r="G203" s="99" t="s">
        <v>1161</v>
      </c>
    </row>
    <row r="204" spans="1:7">
      <c r="A204" s="99" t="s">
        <v>1165</v>
      </c>
      <c r="B204" s="113">
        <v>-685000</v>
      </c>
      <c r="C204" s="99">
        <v>1</v>
      </c>
      <c r="D204" s="99">
        <f t="shared" si="8"/>
        <v>272</v>
      </c>
      <c r="E204" s="99">
        <f t="shared" si="7"/>
        <v>0</v>
      </c>
      <c r="F204" s="99">
        <f t="shared" si="5"/>
        <v>-186320000</v>
      </c>
      <c r="G204" s="99" t="s">
        <v>1166</v>
      </c>
    </row>
    <row r="205" spans="1:7">
      <c r="A205" s="99" t="s">
        <v>1167</v>
      </c>
      <c r="B205" s="113">
        <v>-3000000</v>
      </c>
      <c r="C205" s="99">
        <v>1</v>
      </c>
      <c r="D205" s="99">
        <f t="shared" si="8"/>
        <v>271</v>
      </c>
      <c r="E205" s="99">
        <f t="shared" si="7"/>
        <v>0</v>
      </c>
      <c r="F205" s="99">
        <f t="shared" si="5"/>
        <v>-813000000</v>
      </c>
      <c r="G205" s="99" t="s">
        <v>724</v>
      </c>
    </row>
    <row r="206" spans="1:7">
      <c r="A206" s="99" t="s">
        <v>1172</v>
      </c>
      <c r="B206" s="113">
        <v>-156000</v>
      </c>
      <c r="C206" s="99">
        <v>1</v>
      </c>
      <c r="D206" s="99">
        <f t="shared" si="8"/>
        <v>270</v>
      </c>
      <c r="E206" s="99">
        <f t="shared" si="7"/>
        <v>0</v>
      </c>
      <c r="F206" s="99">
        <f t="shared" si="5"/>
        <v>-42120000</v>
      </c>
      <c r="G206" s="99" t="s">
        <v>1173</v>
      </c>
    </row>
    <row r="207" spans="1:7">
      <c r="A207" s="99" t="s">
        <v>1175</v>
      </c>
      <c r="B207" s="113">
        <v>-66000</v>
      </c>
      <c r="C207" s="99">
        <v>1</v>
      </c>
      <c r="D207" s="99">
        <f t="shared" si="8"/>
        <v>269</v>
      </c>
      <c r="E207" s="99">
        <f t="shared" si="7"/>
        <v>0</v>
      </c>
      <c r="F207" s="99">
        <f t="shared" si="5"/>
        <v>-17754000</v>
      </c>
      <c r="G207" s="99" t="s">
        <v>1180</v>
      </c>
    </row>
    <row r="208" spans="1:7">
      <c r="A208" s="99" t="s">
        <v>1181</v>
      </c>
      <c r="B208" s="113">
        <v>-2500900</v>
      </c>
      <c r="C208" s="99">
        <v>2</v>
      </c>
      <c r="D208" s="99">
        <f t="shared" si="8"/>
        <v>268</v>
      </c>
      <c r="E208" s="99">
        <f t="shared" si="7"/>
        <v>0</v>
      </c>
      <c r="F208" s="99">
        <f t="shared" si="5"/>
        <v>-670241200</v>
      </c>
      <c r="G208" s="99" t="s">
        <v>1188</v>
      </c>
    </row>
    <row r="209" spans="1:7">
      <c r="A209" s="99" t="s">
        <v>1197</v>
      </c>
      <c r="B209" s="113">
        <v>3000000</v>
      </c>
      <c r="C209" s="99">
        <v>0</v>
      </c>
      <c r="D209" s="99">
        <f t="shared" si="8"/>
        <v>266</v>
      </c>
      <c r="E209" s="99">
        <f t="shared" si="7"/>
        <v>1</v>
      </c>
      <c r="F209" s="99">
        <f t="shared" si="5"/>
        <v>795000000</v>
      </c>
      <c r="G209" s="99" t="s">
        <v>1203</v>
      </c>
    </row>
    <row r="210" spans="1:7">
      <c r="A210" s="99" t="s">
        <v>1197</v>
      </c>
      <c r="B210" s="113">
        <v>-2601400</v>
      </c>
      <c r="C210" s="99">
        <v>2</v>
      </c>
      <c r="D210" s="99">
        <f t="shared" si="8"/>
        <v>266</v>
      </c>
      <c r="E210" s="99">
        <f t="shared" si="7"/>
        <v>0</v>
      </c>
      <c r="F210" s="99">
        <f t="shared" si="5"/>
        <v>-691972400</v>
      </c>
      <c r="G210" s="99" t="s">
        <v>1204</v>
      </c>
    </row>
    <row r="211" spans="1:7">
      <c r="A211" s="99" t="s">
        <v>1206</v>
      </c>
      <c r="B211" s="113">
        <v>1000000</v>
      </c>
      <c r="C211" s="99">
        <v>2</v>
      </c>
      <c r="D211" s="99">
        <f t="shared" si="8"/>
        <v>264</v>
      </c>
      <c r="E211" s="99">
        <f t="shared" si="7"/>
        <v>1</v>
      </c>
      <c r="F211" s="99">
        <f t="shared" si="5"/>
        <v>263000000</v>
      </c>
      <c r="G211" s="99" t="s">
        <v>1203</v>
      </c>
    </row>
    <row r="212" spans="1:7">
      <c r="A212" s="99" t="s">
        <v>1209</v>
      </c>
      <c r="B212" s="113">
        <v>1350000</v>
      </c>
      <c r="C212" s="99">
        <v>1</v>
      </c>
      <c r="D212" s="99">
        <f t="shared" si="8"/>
        <v>262</v>
      </c>
      <c r="E212" s="99">
        <f t="shared" si="7"/>
        <v>1</v>
      </c>
      <c r="F212" s="99">
        <f t="shared" si="5"/>
        <v>352350000</v>
      </c>
      <c r="G212" s="99" t="s">
        <v>1212</v>
      </c>
    </row>
    <row r="213" spans="1:7">
      <c r="A213" s="99" t="s">
        <v>1215</v>
      </c>
      <c r="B213" s="113">
        <v>-2200000</v>
      </c>
      <c r="C213" s="99">
        <v>0</v>
      </c>
      <c r="D213" s="99">
        <f t="shared" si="8"/>
        <v>261</v>
      </c>
      <c r="E213" s="99">
        <f t="shared" si="7"/>
        <v>0</v>
      </c>
      <c r="F213" s="99">
        <f t="shared" si="5"/>
        <v>-574200000</v>
      </c>
      <c r="G213" s="99" t="s">
        <v>1216</v>
      </c>
    </row>
    <row r="214" spans="1:7">
      <c r="A214" s="99" t="s">
        <v>1213</v>
      </c>
      <c r="B214" s="113">
        <v>-500500</v>
      </c>
      <c r="C214" s="99">
        <v>3</v>
      </c>
      <c r="D214" s="99">
        <f t="shared" si="8"/>
        <v>261</v>
      </c>
      <c r="E214" s="99">
        <f t="shared" si="7"/>
        <v>0</v>
      </c>
      <c r="F214" s="99">
        <f t="shared" si="5"/>
        <v>-130630500</v>
      </c>
      <c r="G214" s="99" t="s">
        <v>1220</v>
      </c>
    </row>
    <row r="215" spans="1:7">
      <c r="A215" s="99" t="s">
        <v>1223</v>
      </c>
      <c r="B215" s="113">
        <v>-45000</v>
      </c>
      <c r="C215" s="99">
        <v>0</v>
      </c>
      <c r="D215" s="99">
        <f t="shared" si="8"/>
        <v>258</v>
      </c>
      <c r="E215" s="99">
        <f t="shared" si="7"/>
        <v>0</v>
      </c>
      <c r="F215" s="99">
        <f t="shared" si="5"/>
        <v>-11610000</v>
      </c>
      <c r="G215" s="99" t="s">
        <v>1226</v>
      </c>
    </row>
    <row r="216" spans="1:7">
      <c r="A216" s="99" t="s">
        <v>1223</v>
      </c>
      <c r="B216" s="113">
        <v>1000000</v>
      </c>
      <c r="C216" s="99">
        <v>0</v>
      </c>
      <c r="D216" s="99">
        <f t="shared" si="8"/>
        <v>258</v>
      </c>
      <c r="E216" s="99">
        <f t="shared" si="7"/>
        <v>1</v>
      </c>
      <c r="F216" s="99">
        <f t="shared" si="5"/>
        <v>257000000</v>
      </c>
      <c r="G216" s="99" t="s">
        <v>1227</v>
      </c>
    </row>
    <row r="217" spans="1:7">
      <c r="A217" s="99" t="s">
        <v>1223</v>
      </c>
      <c r="B217" s="113">
        <v>-100000</v>
      </c>
      <c r="C217" s="99">
        <v>1</v>
      </c>
      <c r="D217" s="99">
        <f t="shared" si="8"/>
        <v>258</v>
      </c>
      <c r="E217" s="99">
        <f t="shared" si="7"/>
        <v>0</v>
      </c>
      <c r="F217" s="99">
        <f t="shared" si="5"/>
        <v>-25800000</v>
      </c>
      <c r="G217" s="99" t="s">
        <v>502</v>
      </c>
    </row>
    <row r="218" spans="1:7">
      <c r="A218" s="99" t="s">
        <v>1229</v>
      </c>
      <c r="B218" s="113">
        <v>-300000</v>
      </c>
      <c r="C218" s="99">
        <v>3</v>
      </c>
      <c r="D218" s="99">
        <f t="shared" si="8"/>
        <v>257</v>
      </c>
      <c r="E218" s="99">
        <f t="shared" si="7"/>
        <v>0</v>
      </c>
      <c r="F218" s="99">
        <f t="shared" si="5"/>
        <v>-77100000</v>
      </c>
      <c r="G218" s="99" t="s">
        <v>1230</v>
      </c>
    </row>
    <row r="219" spans="1:7">
      <c r="A219" s="99" t="s">
        <v>1242</v>
      </c>
      <c r="B219" s="113">
        <v>-50910</v>
      </c>
      <c r="C219" s="99">
        <v>0</v>
      </c>
      <c r="D219" s="99">
        <f t="shared" si="8"/>
        <v>254</v>
      </c>
      <c r="E219" s="99">
        <f t="shared" si="7"/>
        <v>0</v>
      </c>
      <c r="F219" s="99">
        <f t="shared" si="5"/>
        <v>-12931140</v>
      </c>
      <c r="G219" s="99" t="s">
        <v>1243</v>
      </c>
    </row>
    <row r="220" spans="1:7">
      <c r="A220" s="99" t="s">
        <v>1242</v>
      </c>
      <c r="B220" s="113">
        <v>-550500</v>
      </c>
      <c r="C220" s="99">
        <v>2</v>
      </c>
      <c r="D220" s="99">
        <f t="shared" si="8"/>
        <v>254</v>
      </c>
      <c r="E220" s="99">
        <f t="shared" si="7"/>
        <v>0</v>
      </c>
      <c r="F220" s="99">
        <f t="shared" si="5"/>
        <v>-139827000</v>
      </c>
      <c r="G220" s="99" t="s">
        <v>1244</v>
      </c>
    </row>
    <row r="221" spans="1:7">
      <c r="A221" s="99" t="s">
        <v>3660</v>
      </c>
      <c r="B221" s="113">
        <v>1600000</v>
      </c>
      <c r="C221" s="99">
        <v>1</v>
      </c>
      <c r="D221" s="99">
        <f t="shared" si="8"/>
        <v>252</v>
      </c>
      <c r="E221" s="99">
        <f t="shared" si="7"/>
        <v>1</v>
      </c>
      <c r="F221" s="99">
        <f t="shared" si="5"/>
        <v>401600000</v>
      </c>
      <c r="G221" s="99" t="s">
        <v>3661</v>
      </c>
    </row>
    <row r="222" spans="1:7">
      <c r="A222" s="99" t="s">
        <v>3662</v>
      </c>
      <c r="B222" s="113">
        <v>-1500700</v>
      </c>
      <c r="C222" s="99">
        <v>5</v>
      </c>
      <c r="D222" s="99">
        <f t="shared" si="8"/>
        <v>251</v>
      </c>
      <c r="E222" s="99">
        <f t="shared" si="7"/>
        <v>0</v>
      </c>
      <c r="F222" s="99">
        <f t="shared" si="5"/>
        <v>-376675700</v>
      </c>
      <c r="G222" s="99" t="s">
        <v>3664</v>
      </c>
    </row>
    <row r="223" spans="1:7">
      <c r="A223" s="99" t="s">
        <v>3672</v>
      </c>
      <c r="B223" s="113">
        <v>8619</v>
      </c>
      <c r="C223" s="99">
        <v>3</v>
      </c>
      <c r="D223" s="99">
        <f t="shared" si="8"/>
        <v>246</v>
      </c>
      <c r="E223" s="99">
        <f t="shared" si="7"/>
        <v>1</v>
      </c>
      <c r="F223" s="99">
        <f t="shared" si="5"/>
        <v>2111655</v>
      </c>
      <c r="G223" s="99" t="s">
        <v>3675</v>
      </c>
    </row>
    <row r="224" spans="1:7">
      <c r="A224" s="11" t="s">
        <v>3679</v>
      </c>
      <c r="B224" s="3">
        <v>3000000</v>
      </c>
      <c r="C224" s="11">
        <v>2</v>
      </c>
      <c r="D224" s="99">
        <f t="shared" si="8"/>
        <v>243</v>
      </c>
      <c r="E224" s="99">
        <f t="shared" si="7"/>
        <v>1</v>
      </c>
      <c r="F224" s="99">
        <f t="shared" si="5"/>
        <v>726000000</v>
      </c>
      <c r="G224" s="11" t="s">
        <v>1203</v>
      </c>
    </row>
    <row r="225" spans="1:7">
      <c r="A225" s="11" t="s">
        <v>3695</v>
      </c>
      <c r="B225" s="3">
        <v>-3000900</v>
      </c>
      <c r="C225" s="11">
        <v>1</v>
      </c>
      <c r="D225" s="99">
        <f t="shared" si="8"/>
        <v>241</v>
      </c>
      <c r="E225" s="99">
        <f t="shared" si="7"/>
        <v>0</v>
      </c>
      <c r="F225" s="99">
        <f t="shared" si="5"/>
        <v>-723216900</v>
      </c>
      <c r="G225" s="11" t="s">
        <v>3696</v>
      </c>
    </row>
    <row r="226" spans="1:7">
      <c r="A226" s="99" t="s">
        <v>3701</v>
      </c>
      <c r="B226" s="113">
        <v>3000000</v>
      </c>
      <c r="C226" s="99">
        <v>0</v>
      </c>
      <c r="D226" s="99">
        <f t="shared" si="8"/>
        <v>240</v>
      </c>
      <c r="E226" s="99">
        <f t="shared" si="7"/>
        <v>1</v>
      </c>
      <c r="F226" s="99">
        <f t="shared" si="5"/>
        <v>717000000</v>
      </c>
      <c r="G226" s="99" t="s">
        <v>616</v>
      </c>
    </row>
    <row r="227" spans="1:7">
      <c r="A227" s="99" t="s">
        <v>3701</v>
      </c>
      <c r="B227" s="113">
        <v>-175400</v>
      </c>
      <c r="C227" s="99">
        <v>1</v>
      </c>
      <c r="D227" s="99">
        <f t="shared" si="8"/>
        <v>240</v>
      </c>
      <c r="E227" s="99">
        <f t="shared" si="7"/>
        <v>0</v>
      </c>
      <c r="F227" s="99">
        <f t="shared" si="5"/>
        <v>-42096000</v>
      </c>
      <c r="G227" s="99" t="s">
        <v>3702</v>
      </c>
    </row>
    <row r="228" spans="1:7">
      <c r="A228" s="99" t="s">
        <v>3705</v>
      </c>
      <c r="B228" s="113">
        <v>-1200500</v>
      </c>
      <c r="C228" s="99">
        <v>0</v>
      </c>
      <c r="D228" s="99">
        <f t="shared" si="8"/>
        <v>239</v>
      </c>
      <c r="E228" s="99">
        <f t="shared" si="7"/>
        <v>0</v>
      </c>
      <c r="F228" s="99">
        <f t="shared" si="5"/>
        <v>-286919500</v>
      </c>
      <c r="G228" s="99" t="s">
        <v>3706</v>
      </c>
    </row>
    <row r="229" spans="1:7">
      <c r="A229" s="99" t="s">
        <v>3705</v>
      </c>
      <c r="B229" s="113">
        <v>-20555</v>
      </c>
      <c r="C229" s="99">
        <v>1</v>
      </c>
      <c r="D229" s="99">
        <f t="shared" si="8"/>
        <v>239</v>
      </c>
      <c r="E229" s="99">
        <f t="shared" si="7"/>
        <v>0</v>
      </c>
      <c r="F229" s="99">
        <f t="shared" si="5"/>
        <v>-4912645</v>
      </c>
      <c r="G229" s="99" t="s">
        <v>655</v>
      </c>
    </row>
    <row r="230" spans="1:7">
      <c r="A230" s="99" t="s">
        <v>3708</v>
      </c>
      <c r="B230" s="113">
        <v>-1014466</v>
      </c>
      <c r="C230" s="99">
        <v>1</v>
      </c>
      <c r="D230" s="99">
        <f t="shared" si="8"/>
        <v>238</v>
      </c>
      <c r="E230" s="99">
        <f t="shared" si="7"/>
        <v>0</v>
      </c>
      <c r="F230" s="99">
        <f t="shared" si="5"/>
        <v>-241442908</v>
      </c>
      <c r="G230" s="99" t="s">
        <v>3709</v>
      </c>
    </row>
    <row r="231" spans="1:7">
      <c r="A231" s="99" t="s">
        <v>3716</v>
      </c>
      <c r="B231" s="113">
        <v>-24225</v>
      </c>
      <c r="C231" s="99">
        <v>1</v>
      </c>
      <c r="D231" s="99">
        <f t="shared" si="8"/>
        <v>237</v>
      </c>
      <c r="E231" s="99">
        <f t="shared" si="7"/>
        <v>0</v>
      </c>
      <c r="F231" s="99">
        <f t="shared" si="5"/>
        <v>-5741325</v>
      </c>
      <c r="G231" s="99" t="s">
        <v>655</v>
      </c>
    </row>
    <row r="232" spans="1:7">
      <c r="A232" s="99" t="s">
        <v>3717</v>
      </c>
      <c r="B232" s="113">
        <v>1100000</v>
      </c>
      <c r="C232" s="99">
        <v>0</v>
      </c>
      <c r="D232" s="99">
        <f t="shared" si="8"/>
        <v>236</v>
      </c>
      <c r="E232" s="99">
        <f t="shared" si="7"/>
        <v>1</v>
      </c>
      <c r="F232" s="99">
        <f t="shared" si="5"/>
        <v>258500000</v>
      </c>
      <c r="G232" s="99" t="s">
        <v>3718</v>
      </c>
    </row>
    <row r="233" spans="1:7">
      <c r="A233" s="99" t="s">
        <v>3717</v>
      </c>
      <c r="B233" s="113">
        <v>-147900</v>
      </c>
      <c r="C233" s="99">
        <v>4</v>
      </c>
      <c r="D233" s="99">
        <f t="shared" si="8"/>
        <v>236</v>
      </c>
      <c r="E233" s="99">
        <f t="shared" si="7"/>
        <v>0</v>
      </c>
      <c r="F233" s="99">
        <f t="shared" si="5"/>
        <v>-34904400</v>
      </c>
      <c r="G233" s="99" t="s">
        <v>3724</v>
      </c>
    </row>
    <row r="234" spans="1:7">
      <c r="A234" s="99" t="s">
        <v>3731</v>
      </c>
      <c r="B234" s="113">
        <v>-67965</v>
      </c>
      <c r="C234" s="99">
        <v>5</v>
      </c>
      <c r="D234" s="99">
        <f t="shared" si="8"/>
        <v>232</v>
      </c>
      <c r="E234" s="99">
        <f t="shared" si="7"/>
        <v>0</v>
      </c>
      <c r="F234" s="99">
        <f t="shared" si="5"/>
        <v>-15767880</v>
      </c>
      <c r="G234" s="99" t="s">
        <v>655</v>
      </c>
    </row>
    <row r="235" spans="1:7">
      <c r="A235" s="99" t="s">
        <v>3757</v>
      </c>
      <c r="B235" s="113">
        <v>-114734</v>
      </c>
      <c r="C235" s="99">
        <v>1</v>
      </c>
      <c r="D235" s="99">
        <f t="shared" si="8"/>
        <v>227</v>
      </c>
      <c r="E235" s="99">
        <f t="shared" si="7"/>
        <v>0</v>
      </c>
      <c r="F235" s="99">
        <f t="shared" si="5"/>
        <v>-26044618</v>
      </c>
      <c r="G235" s="99" t="s">
        <v>3758</v>
      </c>
    </row>
    <row r="236" spans="1:7">
      <c r="A236" s="99" t="s">
        <v>1144</v>
      </c>
      <c r="B236" s="113">
        <v>-360000</v>
      </c>
      <c r="C236" s="99">
        <v>0</v>
      </c>
      <c r="D236" s="99">
        <f t="shared" si="8"/>
        <v>226</v>
      </c>
      <c r="E236" s="99">
        <f t="shared" si="7"/>
        <v>0</v>
      </c>
      <c r="F236" s="99">
        <f t="shared" si="5"/>
        <v>-81360000</v>
      </c>
      <c r="G236" s="99" t="s">
        <v>3759</v>
      </c>
    </row>
    <row r="237" spans="1:7">
      <c r="A237" s="99" t="s">
        <v>1144</v>
      </c>
      <c r="B237" s="113">
        <v>-211000</v>
      </c>
      <c r="C237" s="99">
        <v>0</v>
      </c>
      <c r="D237" s="99">
        <f t="shared" si="8"/>
        <v>226</v>
      </c>
      <c r="E237" s="99">
        <f t="shared" si="7"/>
        <v>0</v>
      </c>
      <c r="F237" s="99">
        <f t="shared" si="5"/>
        <v>-47686000</v>
      </c>
      <c r="G237" s="99" t="s">
        <v>3761</v>
      </c>
    </row>
    <row r="238" spans="1:7">
      <c r="A238" s="99" t="s">
        <v>1144</v>
      </c>
      <c r="B238" s="113">
        <v>-189700</v>
      </c>
      <c r="C238" s="99">
        <v>1</v>
      </c>
      <c r="D238" s="99">
        <f t="shared" si="8"/>
        <v>226</v>
      </c>
      <c r="E238" s="99">
        <f t="shared" si="7"/>
        <v>0</v>
      </c>
      <c r="F238" s="99">
        <f t="shared" si="5"/>
        <v>-42872200</v>
      </c>
      <c r="G238" s="99" t="s">
        <v>3764</v>
      </c>
    </row>
    <row r="239" spans="1:7">
      <c r="A239" s="99" t="s">
        <v>3765</v>
      </c>
      <c r="B239" s="113">
        <v>-400500</v>
      </c>
      <c r="C239" s="99">
        <v>0</v>
      </c>
      <c r="D239" s="99">
        <f t="shared" si="8"/>
        <v>225</v>
      </c>
      <c r="E239" s="99">
        <f t="shared" si="7"/>
        <v>0</v>
      </c>
      <c r="F239" s="99">
        <f t="shared" si="5"/>
        <v>-90112500</v>
      </c>
      <c r="G239" s="99" t="s">
        <v>3766</v>
      </c>
    </row>
    <row r="240" spans="1:7">
      <c r="A240" s="99" t="s">
        <v>3765</v>
      </c>
      <c r="B240" s="113">
        <v>400000</v>
      </c>
      <c r="C240" s="99">
        <v>3</v>
      </c>
      <c r="D240" s="99">
        <f t="shared" si="8"/>
        <v>225</v>
      </c>
      <c r="E240" s="99">
        <f t="shared" si="7"/>
        <v>1</v>
      </c>
      <c r="F240" s="99">
        <f t="shared" si="5"/>
        <v>89600000</v>
      </c>
      <c r="G240" s="99" t="s">
        <v>3767</v>
      </c>
    </row>
    <row r="241" spans="1:7">
      <c r="A241" s="99" t="s">
        <v>3782</v>
      </c>
      <c r="B241" s="113">
        <v>-320875</v>
      </c>
      <c r="C241" s="99">
        <v>7</v>
      </c>
      <c r="D241" s="99">
        <f t="shared" si="8"/>
        <v>222</v>
      </c>
      <c r="E241" s="99">
        <f t="shared" si="7"/>
        <v>0</v>
      </c>
      <c r="F241" s="99">
        <f t="shared" si="5"/>
        <v>-71234250</v>
      </c>
      <c r="G241" s="99" t="s">
        <v>3783</v>
      </c>
    </row>
    <row r="242" spans="1:7">
      <c r="A242" s="99" t="s">
        <v>3792</v>
      </c>
      <c r="B242" s="113">
        <v>6074</v>
      </c>
      <c r="C242" s="99">
        <v>2</v>
      </c>
      <c r="D242" s="99">
        <f t="shared" si="8"/>
        <v>215</v>
      </c>
      <c r="E242" s="99">
        <f t="shared" si="7"/>
        <v>1</v>
      </c>
      <c r="F242" s="99">
        <f t="shared" si="5"/>
        <v>1299836</v>
      </c>
      <c r="G242" s="99" t="s">
        <v>585</v>
      </c>
    </row>
    <row r="243" spans="1:7">
      <c r="A243" s="99" t="s">
        <v>3794</v>
      </c>
      <c r="B243" s="113">
        <v>-370500</v>
      </c>
      <c r="C243" s="99">
        <v>15</v>
      </c>
      <c r="D243" s="99">
        <f t="shared" si="8"/>
        <v>213</v>
      </c>
      <c r="E243" s="99">
        <f t="shared" si="7"/>
        <v>0</v>
      </c>
      <c r="F243" s="99">
        <f t="shared" si="5"/>
        <v>-78916500</v>
      </c>
      <c r="G243" s="99" t="s">
        <v>3795</v>
      </c>
    </row>
    <row r="244" spans="1:7">
      <c r="A244" s="99" t="s">
        <v>3903</v>
      </c>
      <c r="B244" s="113">
        <v>3000000</v>
      </c>
      <c r="C244" s="99">
        <v>2</v>
      </c>
      <c r="D244" s="99">
        <f t="shared" si="8"/>
        <v>198</v>
      </c>
      <c r="E244" s="99">
        <f t="shared" si="7"/>
        <v>1</v>
      </c>
      <c r="F244" s="99">
        <f t="shared" si="5"/>
        <v>591000000</v>
      </c>
      <c r="G244" s="99" t="s">
        <v>3904</v>
      </c>
    </row>
    <row r="245" spans="1:7">
      <c r="A245" s="99" t="s">
        <v>3911</v>
      </c>
      <c r="B245" s="113">
        <v>-80000</v>
      </c>
      <c r="C245" s="99">
        <v>1</v>
      </c>
      <c r="D245" s="99">
        <f t="shared" si="8"/>
        <v>196</v>
      </c>
      <c r="E245" s="99">
        <f t="shared" si="7"/>
        <v>0</v>
      </c>
      <c r="F245" s="99">
        <f t="shared" si="5"/>
        <v>-15680000</v>
      </c>
      <c r="G245" s="99" t="s">
        <v>502</v>
      </c>
    </row>
    <row r="246" spans="1:7">
      <c r="A246" s="99" t="s">
        <v>3912</v>
      </c>
      <c r="B246" s="113">
        <v>-2700000</v>
      </c>
      <c r="C246" s="99">
        <v>0</v>
      </c>
      <c r="D246" s="99">
        <f t="shared" si="8"/>
        <v>195</v>
      </c>
      <c r="E246" s="99">
        <f t="shared" si="7"/>
        <v>0</v>
      </c>
      <c r="F246" s="99">
        <f t="shared" si="5"/>
        <v>-526500000</v>
      </c>
      <c r="G246" s="99" t="s">
        <v>3914</v>
      </c>
    </row>
    <row r="247" spans="1:7">
      <c r="A247" s="99" t="s">
        <v>3912</v>
      </c>
      <c r="B247" s="113">
        <v>-30000</v>
      </c>
      <c r="C247" s="99">
        <v>2</v>
      </c>
      <c r="D247" s="99">
        <f t="shared" si="8"/>
        <v>195</v>
      </c>
      <c r="E247" s="99">
        <f t="shared" si="7"/>
        <v>0</v>
      </c>
      <c r="F247" s="99">
        <f t="shared" si="5"/>
        <v>-5850000</v>
      </c>
      <c r="G247" s="99" t="s">
        <v>3914</v>
      </c>
    </row>
    <row r="248" spans="1:7">
      <c r="A248" s="99" t="s">
        <v>3918</v>
      </c>
      <c r="B248" s="113">
        <v>-120000</v>
      </c>
      <c r="C248" s="99">
        <v>1</v>
      </c>
      <c r="D248" s="99">
        <f t="shared" si="8"/>
        <v>193</v>
      </c>
      <c r="E248" s="99">
        <f t="shared" si="7"/>
        <v>0</v>
      </c>
      <c r="F248" s="99">
        <f t="shared" si="5"/>
        <v>-23160000</v>
      </c>
      <c r="G248" s="99" t="s">
        <v>3919</v>
      </c>
    </row>
    <row r="249" spans="1:7">
      <c r="A249" s="74" t="s">
        <v>3936</v>
      </c>
      <c r="B249" s="163">
        <v>-56425</v>
      </c>
      <c r="C249" s="99">
        <v>1</v>
      </c>
      <c r="D249" s="99">
        <f t="shared" si="8"/>
        <v>192</v>
      </c>
      <c r="E249" s="99">
        <f>IF(B250&gt;0,1,0)</f>
        <v>1</v>
      </c>
      <c r="F249" s="99">
        <f>B250*(D249-E249)</f>
        <v>152800000</v>
      </c>
      <c r="G249" s="74" t="s">
        <v>655</v>
      </c>
    </row>
    <row r="250" spans="1:7">
      <c r="A250" s="99" t="s">
        <v>3926</v>
      </c>
      <c r="B250" s="113">
        <v>800000</v>
      </c>
      <c r="C250" s="99">
        <v>1</v>
      </c>
      <c r="D250" s="99">
        <f t="shared" si="8"/>
        <v>191</v>
      </c>
      <c r="E250" s="99">
        <f>IF(B251&gt;0,1,0)</f>
        <v>0</v>
      </c>
      <c r="F250" s="99">
        <f>B251*(D250-E250)</f>
        <v>-3714950</v>
      </c>
      <c r="G250" s="99" t="s">
        <v>3891</v>
      </c>
    </row>
    <row r="251" spans="1:7">
      <c r="A251" s="99" t="s">
        <v>3931</v>
      </c>
      <c r="B251" s="113">
        <v>-19450</v>
      </c>
      <c r="C251" s="99">
        <v>0</v>
      </c>
      <c r="D251" s="99">
        <f t="shared" si="8"/>
        <v>190</v>
      </c>
      <c r="E251" s="99">
        <f>IF(B252&gt;0,1,0)</f>
        <v>0</v>
      </c>
      <c r="F251" s="99">
        <f>B252*(D251-E251)</f>
        <v>-95000000</v>
      </c>
      <c r="G251" s="99" t="s">
        <v>3934</v>
      </c>
    </row>
    <row r="252" spans="1:7">
      <c r="A252" s="99" t="s">
        <v>3931</v>
      </c>
      <c r="B252" s="113">
        <v>-500000</v>
      </c>
      <c r="C252" s="99">
        <v>0</v>
      </c>
      <c r="D252" s="99">
        <f t="shared" si="8"/>
        <v>190</v>
      </c>
      <c r="E252" s="99">
        <f>IF(B253&gt;0,1,0)</f>
        <v>1</v>
      </c>
      <c r="F252" s="99">
        <f>B253*(D252-E252)</f>
        <v>94500000</v>
      </c>
      <c r="G252" s="99" t="s">
        <v>3935</v>
      </c>
    </row>
    <row r="253" spans="1:7">
      <c r="A253" s="99" t="s">
        <v>3931</v>
      </c>
      <c r="B253" s="113">
        <v>500000</v>
      </c>
      <c r="C253" s="99">
        <v>0</v>
      </c>
      <c r="D253" s="99">
        <f t="shared" si="8"/>
        <v>190</v>
      </c>
      <c r="E253" s="99">
        <f t="shared" ref="E253:E278" si="9">IF(B254&gt;0,1,0)</f>
        <v>0</v>
      </c>
      <c r="F253" s="99">
        <f>B254*(D253-E253)</f>
        <v>-86376470</v>
      </c>
      <c r="G253" s="99" t="s">
        <v>3935</v>
      </c>
    </row>
    <row r="254" spans="1:7">
      <c r="A254" s="99" t="s">
        <v>3931</v>
      </c>
      <c r="B254" s="113">
        <v>-454613</v>
      </c>
      <c r="C254" s="99">
        <v>1</v>
      </c>
      <c r="D254" s="99">
        <f t="shared" si="8"/>
        <v>190</v>
      </c>
      <c r="E254" s="99">
        <f t="shared" si="9"/>
        <v>0</v>
      </c>
      <c r="F254" s="99">
        <f t="shared" ref="F254:F278" si="10">B255*(D254-E254)</f>
        <v>-3724000</v>
      </c>
      <c r="G254" s="99" t="s">
        <v>3937</v>
      </c>
    </row>
    <row r="255" spans="1:7">
      <c r="A255" s="99" t="s">
        <v>3939</v>
      </c>
      <c r="B255" s="113">
        <v>-19600</v>
      </c>
      <c r="C255" s="99">
        <v>0</v>
      </c>
      <c r="D255" s="99">
        <f t="shared" si="8"/>
        <v>189</v>
      </c>
      <c r="E255" s="99">
        <f t="shared" si="9"/>
        <v>0</v>
      </c>
      <c r="F255" s="99">
        <f t="shared" si="10"/>
        <v>-4766580</v>
      </c>
      <c r="G255" s="99" t="s">
        <v>3941</v>
      </c>
    </row>
    <row r="256" spans="1:7">
      <c r="A256" s="99" t="s">
        <v>3939</v>
      </c>
      <c r="B256" s="113">
        <v>-25220</v>
      </c>
      <c r="C256" s="99">
        <v>1</v>
      </c>
      <c r="D256" s="99">
        <f t="shared" si="8"/>
        <v>189</v>
      </c>
      <c r="E256" s="99">
        <f t="shared" si="9"/>
        <v>0</v>
      </c>
      <c r="F256" s="99">
        <f t="shared" si="10"/>
        <v>-28255500</v>
      </c>
      <c r="G256" s="99" t="s">
        <v>3758</v>
      </c>
    </row>
    <row r="257" spans="1:11">
      <c r="A257" s="99" t="s">
        <v>3943</v>
      </c>
      <c r="B257" s="113">
        <v>-149500</v>
      </c>
      <c r="C257" s="99">
        <v>0</v>
      </c>
      <c r="D257" s="99">
        <f t="shared" si="8"/>
        <v>188</v>
      </c>
      <c r="E257" s="99">
        <f t="shared" si="9"/>
        <v>0</v>
      </c>
      <c r="F257" s="99">
        <f t="shared" si="10"/>
        <v>-29140000</v>
      </c>
      <c r="G257" s="99" t="s">
        <v>3944</v>
      </c>
    </row>
    <row r="258" spans="1:11">
      <c r="A258" s="99" t="s">
        <v>3943</v>
      </c>
      <c r="B258" s="113">
        <v>-155000</v>
      </c>
      <c r="C258" s="99">
        <v>82</v>
      </c>
      <c r="D258" s="99">
        <f t="shared" si="8"/>
        <v>188</v>
      </c>
      <c r="E258" s="99">
        <f t="shared" si="9"/>
        <v>0</v>
      </c>
      <c r="F258" s="99">
        <f t="shared" si="10"/>
        <v>-940000</v>
      </c>
      <c r="G258" s="99" t="s">
        <v>3945</v>
      </c>
    </row>
    <row r="259" spans="1:11">
      <c r="A259" s="99" t="s">
        <v>4241</v>
      </c>
      <c r="B259" s="113">
        <v>-5000</v>
      </c>
      <c r="C259" s="99">
        <v>82</v>
      </c>
      <c r="D259" s="99">
        <f t="shared" si="8"/>
        <v>106</v>
      </c>
      <c r="E259" s="99">
        <f t="shared" si="9"/>
        <v>1</v>
      </c>
      <c r="F259" s="99">
        <f t="shared" si="10"/>
        <v>10500000</v>
      </c>
      <c r="G259" s="99" t="s">
        <v>4248</v>
      </c>
    </row>
    <row r="260" spans="1:11">
      <c r="A260" s="99" t="s">
        <v>4581</v>
      </c>
      <c r="B260" s="113">
        <v>100000</v>
      </c>
      <c r="C260" s="99">
        <v>1</v>
      </c>
      <c r="D260" s="99">
        <f t="shared" si="8"/>
        <v>24</v>
      </c>
      <c r="E260" s="99">
        <f t="shared" si="9"/>
        <v>1</v>
      </c>
      <c r="F260" s="99">
        <f t="shared" si="10"/>
        <v>69000000</v>
      </c>
      <c r="G260" s="99" t="s">
        <v>3891</v>
      </c>
    </row>
    <row r="261" spans="1:11">
      <c r="A261" s="99" t="s">
        <v>994</v>
      </c>
      <c r="B261" s="113">
        <v>3000000</v>
      </c>
      <c r="C261" s="99">
        <v>3</v>
      </c>
      <c r="D261" s="99">
        <f t="shared" si="8"/>
        <v>23</v>
      </c>
      <c r="E261" s="99">
        <f t="shared" si="9"/>
        <v>0</v>
      </c>
      <c r="F261" s="99">
        <f t="shared" si="10"/>
        <v>-1529500</v>
      </c>
      <c r="G261" s="99" t="s">
        <v>3891</v>
      </c>
    </row>
    <row r="262" spans="1:11">
      <c r="A262" s="99" t="s">
        <v>4595</v>
      </c>
      <c r="B262" s="113">
        <v>-66500</v>
      </c>
      <c r="C262" s="99">
        <v>2</v>
      </c>
      <c r="D262" s="99">
        <f t="shared" si="8"/>
        <v>20</v>
      </c>
      <c r="E262" s="99">
        <f t="shared" si="9"/>
        <v>0</v>
      </c>
      <c r="F262" s="99">
        <f t="shared" si="10"/>
        <v>-757560</v>
      </c>
      <c r="G262" s="99" t="s">
        <v>3964</v>
      </c>
      <c r="K262" t="s">
        <v>25</v>
      </c>
    </row>
    <row r="263" spans="1:11">
      <c r="A263" s="99" t="s">
        <v>4596</v>
      </c>
      <c r="B263" s="113">
        <v>-37878</v>
      </c>
      <c r="C263" s="99">
        <v>2</v>
      </c>
      <c r="D263" s="99">
        <f t="shared" si="8"/>
        <v>18</v>
      </c>
      <c r="E263" s="99">
        <f t="shared" si="9"/>
        <v>0</v>
      </c>
      <c r="F263" s="99">
        <f t="shared" si="10"/>
        <v>-747000</v>
      </c>
      <c r="G263" s="99" t="s">
        <v>4597</v>
      </c>
      <c r="J263" t="s">
        <v>25</v>
      </c>
      <c r="K263" t="s">
        <v>25</v>
      </c>
    </row>
    <row r="264" spans="1:11">
      <c r="A264" s="99" t="s">
        <v>4591</v>
      </c>
      <c r="B264" s="113">
        <v>-41500</v>
      </c>
      <c r="C264" s="99">
        <v>3</v>
      </c>
      <c r="D264" s="99">
        <f t="shared" si="8"/>
        <v>16</v>
      </c>
      <c r="E264" s="99">
        <f t="shared" si="9"/>
        <v>0</v>
      </c>
      <c r="F264" s="99">
        <f t="shared" si="10"/>
        <v>-3040000</v>
      </c>
      <c r="G264" s="99" t="s">
        <v>1039</v>
      </c>
      <c r="J264" t="s">
        <v>25</v>
      </c>
    </row>
    <row r="265" spans="1:11">
      <c r="A265" s="99" t="s">
        <v>4626</v>
      </c>
      <c r="B265" s="113">
        <v>-190000</v>
      </c>
      <c r="C265" s="99">
        <v>1</v>
      </c>
      <c r="D265" s="99">
        <f t="shared" si="8"/>
        <v>13</v>
      </c>
      <c r="E265" s="99">
        <f t="shared" si="9"/>
        <v>0</v>
      </c>
      <c r="F265" s="99">
        <f t="shared" si="10"/>
        <v>-715000</v>
      </c>
      <c r="G265" s="99"/>
    </row>
    <row r="266" spans="1:11">
      <c r="A266" s="99" t="s">
        <v>4625</v>
      </c>
      <c r="B266" s="113">
        <v>-55000</v>
      </c>
      <c r="C266" s="99">
        <v>1</v>
      </c>
      <c r="D266" s="99">
        <f t="shared" si="8"/>
        <v>12</v>
      </c>
      <c r="E266" s="99">
        <f t="shared" si="9"/>
        <v>0</v>
      </c>
      <c r="F266" s="99">
        <f t="shared" si="10"/>
        <v>-352740</v>
      </c>
      <c r="G266" s="99"/>
    </row>
    <row r="267" spans="1:11">
      <c r="A267" s="99" t="s">
        <v>4612</v>
      </c>
      <c r="B267" s="113">
        <v>-29395</v>
      </c>
      <c r="C267" s="99">
        <v>2</v>
      </c>
      <c r="D267" s="99">
        <f t="shared" si="8"/>
        <v>11</v>
      </c>
      <c r="E267" s="99">
        <f t="shared" si="9"/>
        <v>0</v>
      </c>
      <c r="F267" s="99">
        <f t="shared" si="10"/>
        <v>-550000</v>
      </c>
      <c r="G267" s="99"/>
    </row>
    <row r="268" spans="1:11">
      <c r="A268" s="99" t="s">
        <v>4234</v>
      </c>
      <c r="B268" s="113">
        <v>-50000</v>
      </c>
      <c r="C268" s="99">
        <v>1</v>
      </c>
      <c r="D268" s="99">
        <f t="shared" si="8"/>
        <v>9</v>
      </c>
      <c r="E268" s="99">
        <f t="shared" si="9"/>
        <v>0</v>
      </c>
      <c r="F268" s="99">
        <f t="shared" si="10"/>
        <v>-720000</v>
      </c>
      <c r="G268" s="99"/>
    </row>
    <row r="269" spans="1:11">
      <c r="A269" s="99" t="s">
        <v>4628</v>
      </c>
      <c r="B269" s="113">
        <v>-80000</v>
      </c>
      <c r="C269" s="99">
        <v>1</v>
      </c>
      <c r="D269" s="99">
        <f t="shared" si="8"/>
        <v>8</v>
      </c>
      <c r="E269" s="99">
        <f t="shared" si="9"/>
        <v>0</v>
      </c>
      <c r="F269" s="99">
        <f t="shared" si="10"/>
        <v>-791272</v>
      </c>
      <c r="G269" s="99"/>
    </row>
    <row r="270" spans="1:11">
      <c r="A270" s="99" t="s">
        <v>3691</v>
      </c>
      <c r="B270" s="113">
        <v>-98909</v>
      </c>
      <c r="C270" s="99">
        <v>3</v>
      </c>
      <c r="D270" s="99">
        <f t="shared" si="8"/>
        <v>7</v>
      </c>
      <c r="E270" s="99">
        <f t="shared" si="9"/>
        <v>0</v>
      </c>
      <c r="F270" s="99">
        <f t="shared" si="10"/>
        <v>-65660</v>
      </c>
      <c r="G270" s="99"/>
    </row>
    <row r="271" spans="1:11">
      <c r="A271" s="99" t="s">
        <v>4633</v>
      </c>
      <c r="B271" s="113">
        <v>-9380</v>
      </c>
      <c r="C271" s="99">
        <v>0</v>
      </c>
      <c r="D271" s="99">
        <f t="shared" si="8"/>
        <v>4</v>
      </c>
      <c r="E271" s="99">
        <f t="shared" si="9"/>
        <v>0</v>
      </c>
      <c r="F271" s="99">
        <f t="shared" si="10"/>
        <v>-9600000</v>
      </c>
      <c r="G271" s="99"/>
    </row>
    <row r="272" spans="1:11">
      <c r="A272" s="99" t="s">
        <v>4633</v>
      </c>
      <c r="B272" s="113">
        <v>-2400000</v>
      </c>
      <c r="C272" s="99">
        <v>3</v>
      </c>
      <c r="D272" s="99">
        <f t="shared" si="8"/>
        <v>4</v>
      </c>
      <c r="E272" s="99">
        <f t="shared" si="9"/>
        <v>1</v>
      </c>
      <c r="F272" s="99">
        <f t="shared" si="10"/>
        <v>45000</v>
      </c>
      <c r="G272" s="99"/>
    </row>
    <row r="273" spans="1:7">
      <c r="A273" s="99" t="s">
        <v>4648</v>
      </c>
      <c r="B273" s="113">
        <v>15000</v>
      </c>
      <c r="C273" s="99">
        <v>1</v>
      </c>
      <c r="D273" s="99">
        <f t="shared" si="8"/>
        <v>1</v>
      </c>
      <c r="E273" s="99">
        <f t="shared" si="9"/>
        <v>0</v>
      </c>
      <c r="F273" s="99">
        <f t="shared" si="10"/>
        <v>0</v>
      </c>
      <c r="G273" s="99"/>
    </row>
    <row r="274" spans="1:7">
      <c r="A274" s="99"/>
      <c r="B274" s="113"/>
      <c r="C274" s="99"/>
      <c r="D274" s="99">
        <f t="shared" si="8"/>
        <v>0</v>
      </c>
      <c r="E274" s="99">
        <f t="shared" si="9"/>
        <v>0</v>
      </c>
      <c r="F274" s="99">
        <f t="shared" si="10"/>
        <v>0</v>
      </c>
      <c r="G274" s="99"/>
    </row>
    <row r="275" spans="1:7">
      <c r="A275" s="99"/>
      <c r="B275" s="113"/>
      <c r="C275" s="99"/>
      <c r="D275" s="99">
        <f t="shared" si="8"/>
        <v>0</v>
      </c>
      <c r="E275" s="99">
        <f t="shared" si="9"/>
        <v>0</v>
      </c>
      <c r="F275" s="99">
        <f t="shared" si="10"/>
        <v>0</v>
      </c>
      <c r="G275" s="99"/>
    </row>
    <row r="276" spans="1:7">
      <c r="A276" s="99"/>
      <c r="B276" s="113"/>
      <c r="C276" s="99"/>
      <c r="D276" s="99">
        <f t="shared" si="8"/>
        <v>0</v>
      </c>
      <c r="E276" s="99">
        <f t="shared" si="9"/>
        <v>0</v>
      </c>
      <c r="F276" s="99">
        <f t="shared" si="10"/>
        <v>0</v>
      </c>
      <c r="G276" s="99"/>
    </row>
    <row r="277" spans="1:7">
      <c r="A277" s="99"/>
      <c r="B277" s="113"/>
      <c r="C277" s="99"/>
      <c r="D277" s="99">
        <f t="shared" si="8"/>
        <v>0</v>
      </c>
      <c r="E277" s="99">
        <f t="shared" si="9"/>
        <v>0</v>
      </c>
      <c r="F277" s="99">
        <f t="shared" si="10"/>
        <v>0</v>
      </c>
      <c r="G277" s="99"/>
    </row>
    <row r="278" spans="1:7">
      <c r="A278" s="11"/>
      <c r="B278" s="3">
        <v>0</v>
      </c>
      <c r="C278" s="11">
        <v>0</v>
      </c>
      <c r="D278" s="99">
        <f t="shared" si="8"/>
        <v>0</v>
      </c>
      <c r="E278" s="99">
        <f t="shared" si="9"/>
        <v>0</v>
      </c>
      <c r="F278" s="99">
        <f t="shared" si="10"/>
        <v>0</v>
      </c>
      <c r="G278" s="11"/>
    </row>
    <row r="279" spans="1:7">
      <c r="A279" s="11"/>
      <c r="B279" s="3"/>
      <c r="C279" s="11"/>
      <c r="D279" s="99"/>
      <c r="E279" s="99"/>
      <c r="F279" s="99"/>
      <c r="G279" s="11"/>
    </row>
    <row r="280" spans="1:7">
      <c r="A280" s="11"/>
      <c r="B280" s="29">
        <f>SUM(B2:B278)</f>
        <v>56737</v>
      </c>
      <c r="C280" s="11"/>
      <c r="D280" s="11"/>
      <c r="E280" s="11"/>
      <c r="F280" s="29">
        <f>SUM(F2:F278)</f>
        <v>18891598953</v>
      </c>
      <c r="G280" s="11"/>
    </row>
    <row r="281" spans="1:7">
      <c r="A281" s="11"/>
      <c r="B281" s="11" t="s">
        <v>6</v>
      </c>
      <c r="C281" s="11"/>
      <c r="D281" s="11"/>
      <c r="E281" s="11"/>
      <c r="F281" s="11" t="s">
        <v>284</v>
      </c>
      <c r="G281" s="11"/>
    </row>
    <row r="282" spans="1:7">
      <c r="A282" s="11"/>
      <c r="B282" s="11"/>
      <c r="C282" s="11"/>
      <c r="D282" s="11"/>
      <c r="E282" s="11"/>
      <c r="F282" s="11"/>
      <c r="G282" s="11"/>
    </row>
    <row r="283" spans="1:7">
      <c r="A283" s="11"/>
      <c r="B283" s="11"/>
      <c r="C283" s="11"/>
      <c r="D283" s="11"/>
      <c r="E283" s="11"/>
      <c r="F283" s="3">
        <f>F280/D2</f>
        <v>19576786.479792748</v>
      </c>
      <c r="G283" s="11"/>
    </row>
    <row r="284" spans="1:7">
      <c r="A284" s="11"/>
      <c r="B284" s="11"/>
      <c r="C284" s="11"/>
      <c r="D284" s="11"/>
      <c r="E284" s="11"/>
      <c r="F284" s="11" t="s">
        <v>286</v>
      </c>
      <c r="G284" s="11"/>
    </row>
    <row r="289" spans="2:5">
      <c r="D289" t="s">
        <v>25</v>
      </c>
    </row>
    <row r="290" spans="2:5">
      <c r="B290" s="7"/>
    </row>
    <row r="292" spans="2:5" ht="75">
      <c r="E292" s="22" t="s">
        <v>559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3727</v>
      </c>
      <c r="I1" t="s">
        <v>3733</v>
      </c>
    </row>
    <row r="2" spans="1:12">
      <c r="A2">
        <v>1</v>
      </c>
      <c r="B2" t="s">
        <v>3721</v>
      </c>
      <c r="G2" t="s">
        <v>3725</v>
      </c>
      <c r="H2" t="s">
        <v>3728</v>
      </c>
      <c r="I2" t="s">
        <v>3734</v>
      </c>
    </row>
    <row r="3" spans="1:12">
      <c r="A3">
        <v>2</v>
      </c>
      <c r="B3" t="s">
        <v>3722</v>
      </c>
      <c r="G3" s="123"/>
      <c r="H3" t="s">
        <v>3729</v>
      </c>
      <c r="I3" t="s">
        <v>3735</v>
      </c>
    </row>
    <row r="4" spans="1:12">
      <c r="A4">
        <v>3</v>
      </c>
      <c r="B4" t="s">
        <v>3723</v>
      </c>
      <c r="H4" t="s">
        <v>3730</v>
      </c>
      <c r="L4" s="123"/>
    </row>
    <row r="5" spans="1:12">
      <c r="H5" t="s">
        <v>3732</v>
      </c>
    </row>
    <row r="6" spans="1:12">
      <c r="B6" s="123" t="s">
        <v>3726</v>
      </c>
      <c r="H6" t="s">
        <v>3736</v>
      </c>
    </row>
    <row r="7" spans="1:12">
      <c r="H7" t="s">
        <v>3737</v>
      </c>
    </row>
    <row r="8" spans="1:12">
      <c r="H8" t="s">
        <v>3738</v>
      </c>
    </row>
    <row r="9" spans="1:12">
      <c r="H9" t="s">
        <v>3751</v>
      </c>
    </row>
    <row r="10" spans="1:12">
      <c r="H10" t="s">
        <v>3752</v>
      </c>
    </row>
    <row r="11" spans="1:12">
      <c r="H11" t="s">
        <v>3753</v>
      </c>
    </row>
    <row r="12" spans="1:12">
      <c r="H12" t="s">
        <v>3755</v>
      </c>
    </row>
    <row r="13" spans="1:12">
      <c r="H13" t="s">
        <v>3754</v>
      </c>
    </row>
    <row r="18" spans="1:8">
      <c r="A18" s="99" t="s">
        <v>3739</v>
      </c>
      <c r="B18" s="99"/>
      <c r="C18" s="99"/>
      <c r="D18" s="99"/>
    </row>
    <row r="19" spans="1:8">
      <c r="A19" s="99">
        <v>1</v>
      </c>
      <c r="B19" s="99" t="s">
        <v>3740</v>
      </c>
      <c r="C19" s="99" t="s">
        <v>3742</v>
      </c>
      <c r="D19" s="99"/>
    </row>
    <row r="20" spans="1:8">
      <c r="A20" s="99">
        <v>2</v>
      </c>
      <c r="B20" s="99" t="s">
        <v>3741</v>
      </c>
      <c r="C20" s="99" t="s">
        <v>3743</v>
      </c>
      <c r="D20" s="99" t="s">
        <v>3744</v>
      </c>
      <c r="G20" t="s">
        <v>3745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3749</v>
      </c>
      <c r="H38" s="22"/>
    </row>
    <row r="39" spans="1:8">
      <c r="A39">
        <v>1</v>
      </c>
      <c r="B39" t="s">
        <v>3746</v>
      </c>
    </row>
    <row r="40" spans="1:8">
      <c r="A40">
        <v>2</v>
      </c>
      <c r="B40" t="s">
        <v>3750</v>
      </c>
    </row>
    <row r="41" spans="1:8">
      <c r="A41">
        <v>3</v>
      </c>
      <c r="B41" t="s">
        <v>3747</v>
      </c>
    </row>
    <row r="42" spans="1:8">
      <c r="A42">
        <v>4</v>
      </c>
      <c r="B42" t="s">
        <v>3748</v>
      </c>
    </row>
  </sheetData>
  <hyperlinks>
    <hyperlink ref="B6" r:id="rId1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1237</v>
      </c>
      <c r="B1" t="s">
        <v>1238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1345</v>
      </c>
      <c r="B1" s="96" t="s">
        <v>1346</v>
      </c>
      <c r="C1" s="96" t="s">
        <v>1347</v>
      </c>
      <c r="D1" s="96" t="s">
        <v>1348</v>
      </c>
      <c r="E1" s="96" t="s">
        <v>1349</v>
      </c>
      <c r="F1" s="96" t="s">
        <v>1350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3809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3810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3811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3812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3813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3814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3815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3816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3817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3818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3819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3820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3821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3822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3823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3824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3825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3826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3827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3828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3829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3830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3831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3832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3833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3834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3835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3836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3837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3838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3839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3840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3841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3842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3843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3844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3845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3846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3847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3848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3849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3850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3851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1245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1246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1247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1248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1249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1250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1251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1252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1253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1254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1255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1256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1257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1258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1259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1260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1261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1262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1263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1264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1265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1266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1267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1268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1269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1270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1271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1272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1273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1274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1275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1276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1277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1278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1279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1280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1281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1282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1283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1284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1285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1286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1287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1288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1289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1290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1291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1292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1293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1294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1295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1296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1297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1298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1299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1300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1301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1302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1303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1304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1305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1306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1307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1308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1309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1310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1311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1312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1313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1314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1315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1316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1317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1318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1319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1320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1321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1322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1323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1324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1325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1326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1327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1328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1329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1330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1331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1332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1333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1334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1335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1336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1337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1338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1339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1340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1341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1342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1343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1344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1351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1352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1353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1354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1355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1356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1357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1358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1359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1360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1361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1362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1363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1364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1365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1366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1367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1368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1369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1370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1371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1372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1373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1374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1375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1376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1377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1378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1379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1380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1381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1382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1383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1384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1385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1386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1387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1388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1389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1390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1391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1392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1393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1394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1395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1396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1397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1398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1399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1400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1401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1402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1403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1404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1405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1406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1407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1408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1409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1410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1411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1412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1413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1414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1415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1416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1417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1418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1419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1420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1421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1422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1423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1424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1425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1426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1427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1428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1429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1430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1431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1432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1433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1434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1435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1436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1437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1438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1439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1440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1441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1442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1443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1444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1445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1446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1447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1448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1449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1450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1451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1452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1453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1454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1455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1456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1457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1458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1459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1460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1461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1462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1463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1464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1465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1466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1467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1468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1469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1470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1471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1472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1473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1474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1475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1476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1477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1478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1479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1480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1481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1482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1483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1484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1485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1486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1487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1488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1489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1490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1491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1492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1493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1494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1495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1496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1497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1498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1499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1500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1501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1502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1503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1504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1505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1506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1507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1508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1509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1510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1511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1512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1513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1514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1515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1516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1517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1518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1519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1520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1521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1522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1523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1524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1525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1526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1527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1528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1529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1530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1531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1532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1533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1534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1535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1536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1537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1538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1539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1540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1541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1542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1543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1544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1545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1546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1547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1548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1549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1550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1551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1552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1553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1554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1555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1556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1557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1558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1559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1560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1561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1562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1563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1564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1565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1566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1567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1568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1569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1570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1571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1572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1573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1574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1575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1576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1577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1578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1579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1580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1581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1582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1583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1584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1585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1586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1587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1588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1589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1590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1591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1592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1593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1594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1595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1596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1597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1598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1599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1600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1601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1602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1603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1604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1605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1606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1607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1608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1609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1610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1611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1612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1613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1614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1615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1616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1617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1618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1619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1620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1621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1622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1623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1624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1625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1626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1627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1628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1629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1630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1631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1632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1633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1634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1635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1636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1637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1638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1639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1640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1641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1642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1643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1644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1645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1646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1647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1648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1649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1650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1651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1652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1653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1654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1655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1656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1657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1658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1659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1660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1661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1662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1663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1664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1665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1666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1667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1668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1669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1670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1671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1672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1673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1674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1675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1676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1677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1678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1679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1680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1681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1682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1683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1684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1685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1686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1687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1688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1689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1690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1691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1692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1693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1694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1695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1696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1697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1698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1699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1700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1701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1702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1703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1704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1705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1706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1707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1708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1709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1710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1711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1712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1713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1714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1715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1716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1717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1718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1719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1720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1721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1722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1723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1724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1725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1726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1727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1728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1729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1730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1731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1732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1733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1734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1735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1736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1737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1738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1739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1740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1741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1742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1743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1744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1745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1746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1747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1748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1749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1750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1751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1752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1753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1754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1755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1756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1757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1758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1759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1760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1761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1762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1763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1764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1765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1766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1767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1768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1769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1770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1771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1772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1773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1774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1775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1776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1777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1778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1779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1780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1781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1782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1783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1784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1785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1786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1787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1788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1789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1790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1791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1792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1793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1794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1795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1796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1797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1798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1799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1800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1801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1802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1803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1804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1805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1806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1807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1808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1809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1810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1811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1812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1813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1814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1815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1816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1817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1818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1819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1820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1821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1822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1823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1824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1825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1826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1827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1828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1829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1830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1831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1832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1833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1834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1835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1836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1837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1838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1839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1840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1841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1842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1843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1844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1845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1846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1847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1848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1849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1850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1851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1852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1853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1854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1855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1856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1857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1858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1859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1860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1861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1862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1863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1864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1865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1866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1867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1868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1869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1870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1871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1872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1873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1874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1875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1876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1877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1878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1879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1880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1881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1882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1883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1884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1885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1886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1887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1888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1889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1890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1891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1892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1893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1894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1895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1896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1897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1898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1899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1900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1901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1902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1903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1904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1905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1906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1907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1908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1909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1910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1911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1912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1913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1914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1915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1916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1917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1918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1919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1920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1921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1922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1923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1924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1925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1926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1927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1928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1929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1930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1931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1932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1933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1934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1935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1936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1937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1938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1939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1940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1941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1942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1943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1944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1945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1946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1947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1948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1949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1950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1951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1952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1953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1954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1955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1956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1957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1958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1959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1960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1961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1962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1963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1964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1965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1966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1967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1968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1969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1970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1971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1972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1973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1974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1975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1976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1977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1978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1979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1980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1981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1982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1983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1984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1985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1986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1987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1988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1989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1990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1991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1992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1993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1994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1995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1996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1997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1998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1999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2000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2001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2002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2003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2004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2005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2006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2007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2008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2009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2010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2011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2012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2013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2014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2015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2016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2017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2018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2019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2020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2021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2022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2023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2024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2025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2026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2027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2028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2029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2030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2031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2032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2033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2034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2035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2036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2037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2038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2039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2040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2041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2042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2043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2044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2045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2046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2047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2048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2049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2050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2051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2052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2053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2054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2055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2056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2057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2058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2059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2060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2061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2062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2063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2064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2065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2066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2067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2068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2069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2070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2071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2072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2073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2074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2075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2076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2077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2078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2079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2080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2081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2082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2083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2084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2085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2086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2087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2088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2089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2090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2091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2092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2093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2094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2095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2096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2097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2098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2099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2100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2101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2102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2103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2104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2105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2106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2107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2108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2109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2110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2111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2112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2113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2114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2115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2116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2117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2118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2119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2120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2121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2122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2123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2124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2125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2126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2127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2128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2129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2130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2131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2132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2133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2134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2135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2136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2137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2138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2139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2140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2141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2142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2143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2144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2145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2146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2147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2148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2149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2150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2151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2152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2153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2154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2155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2156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2157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2158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2159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2160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2161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2162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2163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2164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2165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2166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2167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2168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2169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2170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2171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2172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2173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2174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2175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2176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2177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2178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2179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2180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2181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2182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2183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2184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2185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2186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2187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2188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2189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2190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2191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2192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2193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2194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2195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2196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2197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2198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2199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2200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2201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2202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2203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2204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2205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2206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2207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2208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2209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2210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2211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2212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2213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2214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2215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2216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2217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2218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2219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2220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2221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2222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2223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2224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2225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2226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2227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2228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2229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2230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2231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2232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2233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2234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2235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2236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2237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2238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2239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2240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2241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2242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2243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2244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2245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2246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2247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2248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2249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2250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2251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2252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2253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2254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2255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2256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2257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2258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2259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2260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2261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2262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2263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2264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2265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2266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2267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2268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2269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2270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2271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2272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2273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2274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2275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2276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2277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2278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2279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2280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2281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2282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2283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2284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2285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2286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2287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2288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2289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2290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2291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2292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2293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2294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2295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2296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2297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2298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2299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2300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2301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2302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2303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2304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2305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2306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2307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2308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2309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2310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2311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2312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2313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2314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2315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2316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2317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2318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2319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2320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2321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2322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2323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2324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2325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2326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2327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2328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2329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2330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2331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2332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2333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2334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2335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2336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2337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2338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2339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2340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2341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2342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2343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2344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2345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2346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2347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2348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2349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2350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2351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2352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2353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2354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2355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2356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2357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2358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2359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2360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2361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2362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2363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2364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2365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2366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2367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2368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2369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2370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2371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2372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2373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2374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2375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2376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2377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2378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2379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2380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2381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2382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2383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2384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2385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2386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2387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2388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2389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2390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2391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2392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2393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2394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2395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2396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2397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2398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2399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2400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2401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2402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2403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2404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2405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2406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2407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2408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2409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2410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2411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2412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2413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2414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2415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2416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2417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2418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2419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2420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2421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2422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2423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2424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2425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2426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2427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2428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2429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2430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2431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2432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2433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2434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2435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2436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2437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2438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2439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2440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2441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2442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2443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2444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2445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2446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2447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2448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2449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2450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2451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2452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2453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2454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2455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2456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2457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2458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2459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2460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2461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2462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2463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2464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2465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2466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2467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2468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2469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2470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2471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2472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2473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2474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2475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2476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2477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2478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2479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2480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2481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2482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2483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2484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2485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2486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2487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2488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2489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2490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2491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2492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2493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2494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2495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2496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2497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2498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2499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2500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2501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2502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2503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2504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2505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2506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2507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2508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2509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2510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2511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2512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2513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2514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2515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2516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2517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2518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2519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2520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2521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2522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2523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2524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2525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2526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2527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2528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2529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2530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2531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2532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2533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2534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2535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2536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2537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2538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2539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2540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2541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2542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2543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2544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2545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2546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2547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2548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2549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2550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2551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2552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2553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2554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2555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2556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2557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2558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2559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2560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2561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2562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2563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2564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2565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2566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2567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2568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2569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2570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2571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2572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2573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2574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2575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2576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2577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2578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2579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2580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2581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2582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2583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2584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2585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2586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2587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2588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2589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2590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2591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2592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2593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2594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2595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2596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2597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2598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2599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2600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2601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2602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2603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2604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2605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2606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2607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2608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2609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2610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2611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2612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2613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2614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2615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2616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2617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2618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2619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2620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2621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2622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2623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2624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2625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2626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2627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2628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2629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2630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2631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2632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2633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2634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2635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2636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2637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2638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2639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2640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2641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2642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2643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2644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2645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2646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2647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2648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2649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2650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2651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2652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2653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2654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2655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2656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2657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2658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2659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2660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2661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2662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2663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2664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2665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2666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2667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2668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2669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2670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2671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2672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2673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2674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2675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2676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2677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2678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2679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2680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2681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2682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2683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2684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2685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2686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2687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2688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2689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2690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2691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2692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2693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2694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2695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2696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2697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2698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2699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2700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2701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2702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2703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2704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2705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2706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2707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2708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2709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2710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2711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2712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2713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2714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2715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2716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2717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2718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2719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2720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2721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2722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2723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2724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2725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2726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2727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2728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2729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2730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2731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2732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2733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2734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2735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2736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2737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2738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2739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2740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2741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2742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2743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2744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2745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2746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2747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2748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2749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2750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2751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2752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2753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2754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2755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2756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2757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2758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2759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2760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2761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2762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2763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2764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2765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2766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2767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2768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2769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2770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2771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2772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2773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2774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2775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2776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2777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2778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2779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2780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2781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2782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2783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2784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2785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2786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2787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2788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2789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2790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2791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2792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2793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2794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2795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2796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2797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2798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2799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2800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2801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2802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2803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2804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2805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2806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2807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2808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2809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2810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2811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2812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2813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2814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2815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2816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2817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2818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2819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2820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2821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2822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2823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2824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2825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2826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2827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2828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2829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2830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2831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2832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2833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2834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2835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2836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2837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2838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2839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2840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2841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2842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2843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2844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2845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2846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2847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2848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2849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2850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2851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2852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2853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2854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2855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2856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2857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2858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2859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2860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2861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2862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2863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2864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2865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2866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2867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2868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2869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2870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2871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2872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2873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2874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2875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2876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2877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2878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2879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2880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2881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2882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2883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2884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2885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2886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2887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2888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2889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2890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2891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2892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2893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2894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2895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2896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2897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2898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2899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2900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2901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2902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2903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2904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2905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2906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2907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2908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2909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2910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2911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2912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2913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2914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2915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2916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2917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2918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2919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2920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2921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2922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2923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2924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2925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2926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2927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2928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2929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2930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2931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2932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2933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2934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2935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2936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2937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2938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2939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2940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2941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2942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2943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2944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2945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2946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2947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2948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2949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2950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2951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2952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2953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2954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2955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2956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2957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2958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2959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2960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2961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2962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2963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2964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2965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2966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2967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2968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2969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2970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2971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2972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2973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2974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2975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2976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2977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2978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2979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2980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2981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2982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2983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2984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2985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2986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2987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2988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2989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2990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2991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2992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2993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2994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2995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2996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2997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2998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2999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3000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3001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3002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3003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3004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3005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3006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3007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3008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3009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3010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3011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3012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3013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3014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3015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3016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3017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3018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3019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3020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3021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3022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3023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3024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3025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3026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3027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3028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3029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3030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3031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3032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3033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3034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3035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3036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3037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3038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3039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3040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3041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3042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3043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3044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3045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3046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3047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3048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3049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3050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3051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3052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3053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3054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3055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3056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3057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3058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3059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3060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3061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3062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3063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3064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3065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3066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3067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3068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3069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3070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3071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3072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3073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3074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3075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3076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3077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3078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3079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3080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3081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3082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3083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3084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3085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3086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3087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3088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3089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3090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3091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3092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3093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3094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3095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3096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3097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3098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3099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3100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3101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3102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3103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3104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3105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3106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3107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3108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3109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3110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3111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3112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3113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3114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3115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3116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3117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3118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3119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3120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3121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3122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3123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3124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3125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3126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3127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3128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3129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3130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3131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3132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3133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3134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3135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3136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3137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3138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3139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3140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3141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3142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3143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3144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3145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3146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3147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3148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3149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3150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3151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3152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3153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3154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3155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3156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3157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3158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3159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3160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3161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3162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3163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3164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3165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3166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3167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3168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3169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3170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3171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3172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3173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3174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3175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3176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3177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3178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3179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3180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3181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3182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3183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3184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3185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3186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3187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3188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3189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3190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3191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3192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3193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3194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3195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3196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3197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3198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3199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3200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3201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3202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3203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3204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3205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3206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3207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3208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3209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3210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3211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3212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3213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3214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3215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3216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3217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3218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3219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3220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3221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3222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3223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3224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3225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3226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3227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3228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3229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3230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3231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3232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3233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3234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3235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3236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3237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3238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3239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3240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3241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3242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3243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3244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3245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3246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3247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3248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3249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3250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3251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3252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3253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3254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3255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3256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3257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3258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3259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3260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3261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3262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3263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3264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3265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3266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3267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3268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3269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3270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3271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3272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3273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3274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3275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3276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3277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3278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3279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3280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3281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3282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3283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3284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3285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3286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3287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3288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3289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3290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3291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3292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3293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3294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3295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3296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3297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3298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3299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3300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3301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3302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3303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3304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3305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3306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3307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3308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3309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3310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3311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3312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3313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3314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3315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3316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3317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3318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3319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3320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3321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3322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3323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3324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3325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3326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3327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3328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3329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3330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3331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3332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3333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3334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3335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3336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3337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3338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3339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3340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3341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3342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3343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3344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3345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3346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3347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3348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3349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3350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3351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3352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3353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3354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3355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3356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3357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3358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3359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3360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3361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3362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3363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3364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3365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3366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3367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3368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3369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3370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3371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3372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3373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3374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3375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3376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3377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3378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3379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3380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3381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3382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3383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3384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3385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3386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3387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3388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3389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3390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3391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3392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3393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3394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3395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3396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3397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3398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3399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3400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3401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3402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3403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3404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3405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3406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3407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3408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3409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3410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3411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3412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3413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3414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3415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3416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3417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3418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3419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3420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3421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3422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3423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3424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3425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3426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3427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3428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3429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3430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3431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3432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3433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3434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3435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3436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3437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3438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3439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3440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3441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3442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3443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3444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3445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3446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3447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3448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3449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3450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3451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3452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3453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3454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3455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3456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3457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3458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3459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3460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3461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3462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3463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3464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3465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3466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3467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3468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3469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3470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3471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3472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3473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3474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3475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3476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3477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3478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3479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3480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3481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3482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3483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3484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3485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3486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3487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3488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3489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3490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3491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3492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3493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3494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3495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3496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3497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3498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3499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3500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3501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3502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3503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3504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3505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3506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3507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3508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3509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3510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3511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3512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3513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3514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3515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3516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3517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3518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3519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3520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3521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3522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3523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3524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3525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3526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3527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3528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3529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3530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3531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3532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3533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3534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3535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3536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3537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3538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3539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3540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3541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3542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3543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3544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3545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3546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3547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3548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3549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3550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3551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3552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3553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3554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3555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3556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3557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3558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3559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3560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3561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3562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3563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3564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3565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3566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3567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3568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3569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3570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3571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3572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3573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3574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3575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3576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3577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3578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3579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3580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3581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3582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3583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3584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3585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3586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3587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3588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3589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3590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3591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3592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3593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3594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3595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3596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3597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3598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3599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3600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3601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3602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3603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3604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3605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3606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3607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3608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3609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3610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3611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3612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3613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3614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3615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3616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3617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3618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3619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3620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3621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3622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3623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3624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3625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3626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3627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3628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3629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3630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3631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3632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3633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3634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3635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3636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3637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3638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3639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3641</v>
      </c>
      <c r="B1" s="96" t="s">
        <v>1350</v>
      </c>
      <c r="C1" s="96" t="s">
        <v>1349</v>
      </c>
      <c r="D1" s="96" t="s">
        <v>1345</v>
      </c>
      <c r="E1" s="96" t="s">
        <v>1346</v>
      </c>
      <c r="F1" s="96" t="s">
        <v>1347</v>
      </c>
      <c r="G1" s="96" t="s">
        <v>1348</v>
      </c>
      <c r="H1" s="96"/>
      <c r="I1" s="96" t="s">
        <v>3649</v>
      </c>
      <c r="J1" s="96" t="s">
        <v>1129</v>
      </c>
      <c r="K1" s="96" t="s">
        <v>1236</v>
      </c>
      <c r="L1" s="96" t="s">
        <v>3650</v>
      </c>
      <c r="M1" s="96" t="s">
        <v>3651</v>
      </c>
      <c r="N1" s="96" t="s">
        <v>191</v>
      </c>
      <c r="O1" s="96" t="s">
        <v>3654</v>
      </c>
      <c r="P1" s="139" t="s">
        <v>3655</v>
      </c>
      <c r="Q1" s="139" t="s">
        <v>3656</v>
      </c>
      <c r="R1" s="96" t="s">
        <v>937</v>
      </c>
      <c r="S1" s="96" t="s">
        <v>3652</v>
      </c>
      <c r="T1" s="96" t="s">
        <v>1129</v>
      </c>
      <c r="U1" s="96" t="s">
        <v>1236</v>
      </c>
      <c r="V1" s="96" t="s">
        <v>3653</v>
      </c>
      <c r="W1" s="96" t="s">
        <v>3651</v>
      </c>
      <c r="X1" s="96" t="s">
        <v>191</v>
      </c>
    </row>
    <row r="2" spans="1:35">
      <c r="A2" s="96">
        <v>1</v>
      </c>
      <c r="B2" s="136" t="s">
        <v>3640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3639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3638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3642</v>
      </c>
      <c r="AC4" s="96" t="s">
        <v>3643</v>
      </c>
      <c r="AD4" s="96" t="s">
        <v>3644</v>
      </c>
      <c r="AE4" s="96" t="s">
        <v>3645</v>
      </c>
      <c r="AH4" s="96" t="s">
        <v>3646</v>
      </c>
      <c r="AI4" s="110">
        <v>100000000</v>
      </c>
    </row>
    <row r="5" spans="1:35">
      <c r="A5" s="96">
        <v>4</v>
      </c>
      <c r="B5" s="136" t="s">
        <v>3637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3636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3647</v>
      </c>
      <c r="AI6" s="96">
        <v>25</v>
      </c>
    </row>
    <row r="7" spans="1:35">
      <c r="A7" s="96">
        <v>6</v>
      </c>
      <c r="B7" s="136" t="s">
        <v>3635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3634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3633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3632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3648</v>
      </c>
      <c r="AI10" s="110">
        <f>AI4*(1+AI6/100)^8</f>
        <v>596046447.75390625</v>
      </c>
    </row>
    <row r="11" spans="1:35">
      <c r="A11" s="96">
        <v>10</v>
      </c>
      <c r="B11" s="136" t="s">
        <v>3631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3630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3629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3628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3627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3626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3625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3624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3623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3622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3621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3620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3619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3618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3617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3616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3615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3614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3613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3612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3611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3610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3609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3608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3607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3606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3605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3604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3603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3602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3601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3600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3599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3598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3597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3596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3595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3594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3593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3592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3591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3590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3589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3588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3587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3586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3585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3584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3583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3582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3581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3580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3579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3578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3577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3576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3575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3574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3573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3572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3571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3570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3569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3568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3567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3566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3565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3564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3563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3562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3561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3560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3559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3558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3557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3556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3555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3554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3553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3552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3551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3550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3549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3548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3547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3546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3545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3544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3543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3542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3541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3540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3539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3538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3537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3536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3535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3534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3533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3532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3531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3530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3529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3528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3527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3526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3525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3524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3523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3522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3521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3520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3519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3518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3517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3516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3515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3514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3513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3512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3511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3510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3509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3508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3507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3506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3505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3504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3503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3502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3501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3500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3499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3498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3497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3496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3495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3494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3493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3492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3491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3490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3489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3488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3487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3486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3485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3484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3483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3482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3481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3480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3479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3478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3477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3476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3475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3474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3473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3472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3471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3470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3469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3468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3467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3466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3465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3464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3463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3462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3461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3460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3459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3458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3457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3456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3455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3454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3453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3452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3451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3450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3449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3448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3447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3446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3445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3444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3443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3442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3441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3440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3439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3438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3437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3436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3435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3434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3433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3432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3431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3430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3429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3428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3427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3426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3425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3424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3423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3422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3421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3420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3419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3418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3417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3416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3415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3414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3413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3412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3411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3410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3409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3408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3407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3406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3405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3404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3403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3402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3401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3400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3399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3398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3397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3396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3395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3394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3393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3392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3391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3390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3389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3388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3387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3386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3385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3384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3383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3382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3381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3380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3379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3378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3377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3376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3375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3374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3373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3372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3371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3370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3369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3368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3367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3366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3365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3364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3363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3362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3361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3360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3359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3358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3357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3356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3355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3354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3353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3352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3351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3350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3349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3348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3347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3346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3345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3344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3343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3342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3341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3340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3339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3338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3337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3336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3335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3334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3333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3332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3331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3330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3329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3328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3327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3326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3325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3324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3323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3322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3321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3320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3319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3318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3317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3316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3315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3314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3313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3312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3311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3310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3309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3308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3307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3306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3305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3304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3303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3302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3301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3300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3299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3298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3297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3296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3295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3294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3293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3292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3291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3290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3289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3288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3287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3286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3285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3284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3283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3282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3281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3280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3279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3278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3277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3276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3275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3274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3273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3272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3271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3270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3269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3268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3267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3266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3265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3264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3263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3262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3261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3260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3259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3258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3257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3256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3255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3254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3253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3252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3251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3250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3249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3248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3247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3246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3245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3244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3243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3242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3241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3240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3239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3238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3237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3236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3235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3234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3233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3232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3231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3230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3229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3228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3227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3226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3225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3224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3223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3222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3221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3220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3219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3218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3217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3216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3215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3214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3213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3212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3211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3210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3209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3208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3207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3206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3205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3204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3203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3202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3201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3200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3199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3198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3197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3196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3195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3194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3193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3192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3191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3190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3189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3188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3187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3186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3185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3184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3183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3182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3181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3180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3179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3178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3177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3176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3175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3174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3173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3172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3171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3170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3169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3168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3167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3166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3165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3164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3163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3162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3161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3160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3159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3158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3157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3156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3155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3154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3153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3152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3151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3150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3149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3148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3147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3146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3145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3144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3143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3142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3141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3140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3139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3138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3137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3136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3135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3134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3133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3132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3131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3130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3129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3128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3127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3126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3125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3124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3123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3122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3121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3120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3119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3118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3117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3116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3115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3114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3113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3112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3111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3110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3109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3108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3107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3106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3105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3104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3103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3102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3101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3100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3099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3098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3097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3096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3095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3094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3093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3092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3091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3090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3089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3088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3087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3086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3085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3084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3083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3082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3081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3080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3079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3078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3077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3076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3075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3074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3073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3072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3071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3070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3069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3068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3067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3066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3065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3064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3063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3062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3061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3060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3059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3058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3057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3056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3055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3054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3053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3052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3051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3050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3049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3048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3047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3046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3045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3044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3043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3042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3041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3040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3039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3038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3037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3036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3035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3034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3033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3032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3031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3030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3029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3028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3027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3026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3025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3024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3023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3022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3021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3020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3019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3018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3017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3016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3015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3014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3013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3012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3011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3010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3009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3008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3007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3006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3005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3004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3003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3002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3001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3000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2999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2998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2997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2996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2995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2994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2993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2992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2991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2990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2989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2988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2987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2986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2985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2984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2983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2982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2981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2980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2979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2978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2977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2976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2975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2974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2973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2972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2971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2970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2969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2968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2967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2966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2965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2964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2963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2962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2961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2960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2959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2958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2957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2956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2955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2954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2953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2952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2951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2950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2949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2948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2947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2946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2945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2944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2943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2942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2941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2940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2939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2938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2937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2936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2935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2934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2933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2932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2931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2930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2929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2928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2927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2926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2925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2924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2923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2922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2921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2920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2919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2918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2917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2916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2915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2914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2913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2912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2911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2910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2909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2908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2907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2906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2905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2904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2903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2902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2901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2900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2899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2898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2897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2896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2895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2894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2893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2892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2891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2890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2889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2888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2887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2886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2885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2884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2883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2882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2881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2880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2879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2878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2877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2876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2875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2874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2873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2872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2871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2870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2869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2868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2867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2866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2865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2864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2863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2862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2861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2860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2859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2858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2857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2856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2855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2854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2853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2852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2851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2850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2849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2848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2847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2846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2845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2844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2843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2842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2841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2840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2839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2838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2837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2836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2835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2834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2833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2832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2831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2830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2829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2828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2827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2826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2825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2824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2823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2822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2821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2820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2819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2818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2817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2816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2815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2814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2813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2812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2811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2810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2809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2808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2807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2806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2805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2804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2803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2802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2801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2800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2799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2798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2797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2796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2795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2794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2793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2792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2791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2790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2789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2788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2787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2786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2785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2784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2783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2782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2781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2780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2779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2778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2777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2776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2775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2774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2773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2772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2771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2770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2769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2768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2767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2766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2765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2764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2763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2762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2761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2760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2759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2758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2757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2756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2755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2754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2753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2752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2751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2750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2749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2748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2747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2746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2745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2744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2743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2742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2741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2740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2739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2738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2737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2736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2735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2734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2733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2732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2731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2730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2729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2728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2727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2726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2725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2724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2723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2722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2721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2720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2719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2718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2717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2716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2715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2714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2713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2712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2711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2710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2709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2708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2707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2706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2705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2704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2703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2702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2701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2700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2699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2698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2697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2696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2695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2694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2693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2692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2691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2690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2689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2688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2687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2686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2685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2684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2683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2682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2681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2680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2679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2678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2677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2676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2675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2674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2673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2672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2671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2670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2669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2668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2667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2666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2665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2664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2663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2662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2661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2660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2659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2658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2657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2656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2655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2654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2653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2652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2651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2650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2649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2648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2647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2646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2645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2644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2643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2642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2641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2640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2639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2638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2637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2636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2635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2634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2633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2632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2631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2630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2629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2628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2627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2626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2625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2624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2623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2622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2621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2620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2619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2618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2617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2616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2615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2614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2613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2612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2611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2610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2609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2608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2607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2606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2605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2604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2603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2602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2601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2600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2599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2598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2597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2596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2595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2594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2593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2592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2591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2590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2589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2588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2587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2586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2585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2584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2583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2582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2581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2580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2579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2578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2577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2576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2575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2574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2573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2572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2571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2570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2569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2568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2567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2566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2565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2564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2563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2562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2561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2560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2559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2558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2557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2556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2555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2554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2553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2552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2551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2550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2549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2548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2547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2546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2545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2544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2543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2542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2541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2540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2539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2538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2537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2536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2535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2534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2533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2532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2531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2530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2529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2528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2527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2526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2525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2524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2523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2522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2521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2520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2519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2518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2517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2516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2515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2514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2513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2512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2511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2510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2509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2508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2507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2506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2505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2504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2503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2502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2501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2500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2499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2498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2497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2496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2495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2494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2493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2492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2491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2490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2489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2488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2487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2486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2485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2484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2483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2482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2481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2480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2479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2478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2477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2476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2475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2474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2473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2472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2471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2470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2469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2468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2467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2466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2465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2464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2463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2462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2461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2460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2459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2458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2457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2456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2455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2454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2453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2452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2451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2450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2449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2448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2447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2446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2445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2444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2443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2442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2441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2440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2439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2438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2437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2436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2435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2434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2433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2432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2431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2430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2429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2428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2427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2426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2425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2424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2423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2422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2421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2420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2419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2418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2417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2416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2415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2414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2413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2412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2411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2410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2409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2408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2407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2406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2405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2404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2403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2402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2401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2400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2399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2398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2397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2396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2395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2394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2393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2392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2391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2390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2389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2388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2387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2386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2385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2384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2383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2382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2381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2380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2379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2378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2377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2376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2375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2374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2373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2372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2371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2370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2369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2368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2367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2366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2365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2364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2363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2362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2361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2360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2359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2358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2357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2356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2355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2354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2353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2352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2351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2350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2349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2348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2347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2346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2345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2344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2343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2342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2341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2340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2339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2338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2337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2336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2335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2334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2333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2332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2331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2330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2329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2328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2327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2326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2325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2324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2323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2322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2321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2320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2319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2318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2317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2316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2315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2314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2313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2312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2311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2310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2309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2308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2307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2306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2305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2304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2303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2302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2301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2300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2299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2298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2297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2296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2295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2294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2293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2292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2291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2290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2289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2288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2287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2286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2285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2284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2283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2282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2281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2280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2279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2278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2277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2276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2275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2274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2273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2272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2271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2270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2269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2268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2267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2266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2265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2264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2263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2262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2261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2260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2259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2258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2257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2256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2255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2254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2253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2252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2251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2250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2249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2248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2247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2246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2245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2244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2243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2242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2241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2240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2239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2238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2237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2236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2235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2234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2233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2232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2231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2230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2229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2228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2227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2226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2225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2224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2223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2222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2221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2220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2219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2218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2217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2216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2215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2214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2213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2212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2211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2210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2209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2208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2207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2206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2205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2204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2203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2202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2201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2200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2199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2198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2197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2196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2195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2194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2193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2192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2191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2190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2189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2188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2187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2186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2185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2184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2183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2182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2181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2180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2179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2178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2177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2176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2175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2174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2173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2172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2171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2170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2169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2168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2167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2166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2165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2164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2163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2162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2161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2160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2159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2158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2157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2156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2155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2154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2153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2152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2151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2150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2149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2148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2147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2146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2145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2144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2143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2142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2141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2140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2139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2138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2137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2136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2135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2134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2133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2132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2131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2130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2129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2128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2127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2126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2125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2124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2123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2122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2121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2120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2119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2118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2117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2116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2115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2114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2113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2112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2111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2110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2109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2108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2107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2106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2105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2104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2103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2102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2101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2100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2099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2098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2097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2096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2095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2094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2093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2092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2091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2090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2089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2088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2087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2086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2085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2084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2083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2082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2081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2080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2079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2078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2077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2076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2075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2074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2073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2072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2071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2070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2069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2068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2067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2066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2065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2064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2063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2062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2061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2060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2059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2058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2057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2056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2055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2054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2053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2052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2051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2050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2049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2048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2047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2046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2045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2044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2043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2042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2041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2040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2039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2038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2037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2036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2035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2034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2033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2032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2031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2030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2029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2028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2027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2026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2025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2024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2023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2022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2021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2020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2019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2018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2017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2016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2015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2014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2013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2012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2011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2010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2009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2008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2007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2006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2005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2004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2003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2002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2001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2000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1999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1998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1997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1996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1995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1994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1993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1992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1991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1990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1989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1988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1987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1986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1985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1984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1983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1982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1981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1980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1979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1978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1977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1976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1975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1974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1973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1972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1971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1970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1969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1968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1967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1966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1965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1964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1963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1962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1961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1960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1959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1958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1957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1956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1955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1954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1953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1952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1951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1950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1949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1948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1947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1946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1945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1944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1943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1942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1941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1940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1939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1938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1937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1936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1935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1934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1933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1932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1931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1930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1929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1928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1927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1926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1925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1924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1923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1922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1921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1920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1919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1918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1917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1916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1915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1914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1913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1912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1911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1910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1909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1908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1907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1906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1905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1904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1903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1902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1901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1900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1899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1898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1897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1896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1895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1894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1893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1892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1891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1890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1889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1888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1887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1886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1885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1884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1883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1882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1881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1880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1879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1878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1877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1876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1875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1874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1873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1872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1871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1870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1869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1868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1867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1866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1865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1864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1863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1862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1861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1860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1859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1858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1857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1856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1855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1854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1853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1852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1851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1850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1849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1848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1847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1846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1845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1844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1843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1842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1841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1840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1839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1838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1837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1836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1835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1834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1833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1832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1831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1830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1829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1828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1827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1826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1825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1824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1823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1822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1821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1820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1819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1818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1817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1816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1815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1814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1813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1812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1811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1810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1809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1808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1807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1806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1805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1804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1803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1802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1801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1800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1799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1798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1797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1796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1795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1794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1793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1792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1791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1790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1789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1788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1787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1786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1785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1784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1783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1782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1781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1780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1779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1778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1777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1776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1775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1774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1773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1772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1771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1770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1769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1768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1767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1766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1765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1764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1763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1762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1761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1760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1759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1758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1757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1756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1755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1754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1753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1752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1751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1750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1749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1748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1747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1746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1745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1744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1743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1742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1741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1740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1739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1738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1737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1736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1735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1734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1733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1732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1731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1730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1729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1728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1727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1726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1725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1724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1723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1722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1721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1720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1719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1718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1717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1716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1715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1714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1713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1712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1711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1710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1709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1708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1707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1706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1705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1704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1703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1702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1701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1700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1699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1698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1697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1696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1695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1694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1693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1692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1691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1690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1689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1688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1687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1686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1685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1684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1683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1682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1681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1680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1679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1678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1677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1676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1675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1674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1673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1672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1671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1670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1669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1668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1667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1666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1665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1664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1663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1662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1661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1660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1659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1658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1657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1656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1655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1654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1653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1652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1651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1650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1649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1648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1647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1646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1645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1644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1643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1642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1641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1640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1639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1638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1637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1636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1635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1634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1633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1632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1631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1630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1629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1628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1627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1626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1625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1624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1623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1622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1621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1620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1619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1618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1617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1616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1615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1614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1613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1612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1611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1610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1609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1608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1607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1606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1605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1604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1603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1602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1601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1600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1599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1598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1597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1596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1595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1594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1593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1592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1591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1590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1589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1588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1587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1586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1585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1584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1583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1582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1581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1580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1579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1578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1577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1576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1575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1574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1573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1572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1571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1570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1569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1568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1567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1566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1565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1564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1563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1562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1561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1560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1559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1558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1557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1556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1555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1554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1553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1552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1551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1550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1549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1548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1547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1546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1545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1544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1543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1542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1541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1540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1539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1538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1537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1536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1535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1534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1533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1532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1531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1530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1529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1528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1527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1526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1525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1524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1523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1522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1521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1520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1519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1518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1517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1516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1515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1514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1513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1512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1511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1510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1509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1508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1507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1506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1505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1504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1503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1502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1501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1500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1499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1498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1497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1496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1495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1494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1493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1492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1491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1490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1489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1488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1487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1486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1485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1484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1483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1482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1481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1480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1479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1478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1477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1476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1475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1474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1473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1472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1471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1470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1469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1468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1467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1466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1465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1464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1463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1462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1461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1460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1459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1458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1457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1456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1455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1454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1453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1452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1451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1450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1449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1448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1447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1446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1445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1444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1443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1442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1441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1440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1439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1438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1437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1436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1435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1434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1433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1432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1431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1430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1429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1428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1427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1426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1425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1424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1423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1422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1421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1420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1419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1418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1417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1416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1415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1414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1413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1412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1411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1410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1409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1408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1407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1406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1405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1404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1403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1402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1401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1400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1399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1398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1397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1396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1395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1394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1393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1392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1391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1390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1389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1388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1387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1386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1385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1384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1383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1382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1381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1380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1379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1378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1377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1376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1375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1374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1373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1372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1371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1370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1369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1368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1367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1366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1365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1364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1363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1362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1361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1360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1359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1358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1357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1356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1355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1354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1353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1352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1351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1344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1343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1342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1341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1340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1339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1338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1337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1336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1335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1334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1333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1332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1331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1330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1329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1328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1327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1326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1325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1324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1323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1322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1321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1320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1319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1318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1317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1316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1315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1314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1313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1312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1311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1310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1309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1308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1307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1306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1305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1304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1303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1302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1301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1300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1299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1298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1297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1296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1295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1294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1293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1292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1291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1290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1289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1288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1287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1286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1285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1284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1283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1282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1281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1280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1279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1278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1277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1276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1275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1274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1273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1272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1271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1270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1269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1268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1267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1266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1265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1264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1263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1262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1261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1260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1259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1258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1257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1256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1255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1254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1253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1252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1251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1250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1249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1248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1247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1246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1245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6" sqref="B6"/>
    </sheetView>
  </sheetViews>
  <sheetFormatPr defaultRowHeight="15"/>
  <cols>
    <col min="1" max="1" width="10.7109375" bestFit="1" customWidth="1"/>
    <col min="2" max="2" width="101.140625" customWidth="1"/>
  </cols>
  <sheetData>
    <row r="1" spans="1:3">
      <c r="A1" t="s">
        <v>4547</v>
      </c>
      <c r="B1" t="s">
        <v>4550</v>
      </c>
      <c r="C1" t="s">
        <v>4551</v>
      </c>
    </row>
    <row r="2" spans="1:3">
      <c r="A2" t="s">
        <v>4548</v>
      </c>
      <c r="B2" t="s">
        <v>4552</v>
      </c>
      <c r="C2" t="s">
        <v>4553</v>
      </c>
    </row>
    <row r="3" spans="1:3">
      <c r="A3" t="s">
        <v>4549</v>
      </c>
      <c r="B3" t="s">
        <v>4551</v>
      </c>
      <c r="C3" t="s">
        <v>4554</v>
      </c>
    </row>
    <row r="5" spans="1:3">
      <c r="A5" t="s">
        <v>4847</v>
      </c>
      <c r="B5" t="s">
        <v>4865</v>
      </c>
    </row>
    <row r="6" spans="1:3">
      <c r="A6" t="s">
        <v>4857</v>
      </c>
      <c r="B6" t="s">
        <v>4866</v>
      </c>
    </row>
    <row r="8" spans="1:3" ht="9.75" customHeight="1"/>
    <row r="9" spans="1:3" hidden="1"/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C23" sqref="C23"/>
    </sheetView>
  </sheetViews>
  <sheetFormatPr defaultRowHeight="15"/>
  <cols>
    <col min="1" max="1" width="10.7109375" bestFit="1" customWidth="1"/>
    <col min="2" max="3" width="11.42578125" bestFit="1" customWidth="1"/>
    <col min="4" max="4" width="18.5703125" bestFit="1" customWidth="1"/>
  </cols>
  <sheetData>
    <row r="1" spans="1:7">
      <c r="A1" s="99" t="s">
        <v>180</v>
      </c>
      <c r="B1" s="99" t="s">
        <v>4772</v>
      </c>
      <c r="C1" s="99" t="s">
        <v>3935</v>
      </c>
      <c r="D1" s="99" t="s">
        <v>8</v>
      </c>
      <c r="E1" s="96"/>
      <c r="F1" s="96"/>
      <c r="G1" s="96"/>
    </row>
    <row r="2" spans="1:7">
      <c r="A2" s="99" t="s">
        <v>4763</v>
      </c>
      <c r="B2" s="95">
        <v>10300</v>
      </c>
      <c r="C2" s="95">
        <v>0</v>
      </c>
      <c r="D2" s="99" t="s">
        <v>4773</v>
      </c>
      <c r="E2" s="96"/>
      <c r="F2" s="96"/>
      <c r="G2" s="96"/>
    </row>
    <row r="3" spans="1:7">
      <c r="A3" s="99" t="s">
        <v>4763</v>
      </c>
      <c r="B3" s="95">
        <v>0</v>
      </c>
      <c r="C3" s="95">
        <v>5500</v>
      </c>
      <c r="D3" s="99" t="s">
        <v>4774</v>
      </c>
      <c r="E3" s="96"/>
      <c r="F3" s="96"/>
      <c r="G3" s="96"/>
    </row>
    <row r="4" spans="1:7">
      <c r="A4" s="99" t="s">
        <v>3684</v>
      </c>
      <c r="B4" s="95">
        <v>0</v>
      </c>
      <c r="C4" s="95">
        <v>1000</v>
      </c>
      <c r="D4" s="99" t="s">
        <v>315</v>
      </c>
      <c r="E4" s="96"/>
      <c r="F4" s="96"/>
      <c r="G4" s="96"/>
    </row>
    <row r="5" spans="1:7">
      <c r="A5" s="99" t="s">
        <v>4786</v>
      </c>
      <c r="B5" s="95">
        <v>0</v>
      </c>
      <c r="C5" s="95">
        <v>1000</v>
      </c>
      <c r="D5" s="99" t="s">
        <v>315</v>
      </c>
      <c r="E5" s="96"/>
      <c r="F5" s="96"/>
      <c r="G5" s="96"/>
    </row>
    <row r="6" spans="1:7">
      <c r="A6" s="99" t="s">
        <v>4802</v>
      </c>
      <c r="B6" s="95">
        <v>0</v>
      </c>
      <c r="C6" s="95">
        <v>3000</v>
      </c>
      <c r="D6" s="99" t="s">
        <v>4806</v>
      </c>
      <c r="E6" s="96"/>
      <c r="F6" s="96"/>
      <c r="G6" s="96"/>
    </row>
    <row r="7" spans="1:7">
      <c r="A7" s="99" t="s">
        <v>4802</v>
      </c>
      <c r="B7" s="95">
        <v>9200</v>
      </c>
      <c r="C7" s="95">
        <v>0</v>
      </c>
      <c r="D7" s="99" t="s">
        <v>4773</v>
      </c>
      <c r="E7" s="96"/>
      <c r="F7" s="96"/>
      <c r="G7" s="96"/>
    </row>
    <row r="8" spans="1:7">
      <c r="A8" s="99" t="s">
        <v>4804</v>
      </c>
      <c r="B8" s="95">
        <v>0</v>
      </c>
      <c r="C8" s="95">
        <v>1000</v>
      </c>
      <c r="D8" s="99" t="s">
        <v>315</v>
      </c>
      <c r="E8" s="96"/>
      <c r="F8" s="96"/>
      <c r="G8" s="96"/>
    </row>
    <row r="9" spans="1:7">
      <c r="A9" s="99" t="s">
        <v>4814</v>
      </c>
      <c r="B9" s="99">
        <v>0</v>
      </c>
      <c r="C9" s="99">
        <v>1000</v>
      </c>
      <c r="D9" s="99" t="s">
        <v>315</v>
      </c>
      <c r="E9" s="96"/>
      <c r="F9" s="96"/>
      <c r="G9" s="96"/>
    </row>
    <row r="10" spans="1:7">
      <c r="A10" s="99" t="s">
        <v>4814</v>
      </c>
      <c r="B10" s="95">
        <v>10200</v>
      </c>
      <c r="C10" s="95">
        <v>0</v>
      </c>
      <c r="D10" s="99" t="s">
        <v>4773</v>
      </c>
      <c r="E10" s="96"/>
      <c r="F10" s="96"/>
      <c r="G10" s="96"/>
    </row>
    <row r="11" spans="1:7">
      <c r="A11" s="99" t="s">
        <v>4836</v>
      </c>
      <c r="B11" s="95">
        <v>0</v>
      </c>
      <c r="C11" s="95">
        <v>1000</v>
      </c>
      <c r="D11" s="99" t="s">
        <v>315</v>
      </c>
      <c r="E11" s="96"/>
      <c r="F11" s="96"/>
      <c r="G11" s="96"/>
    </row>
    <row r="12" spans="1:7">
      <c r="A12" s="99" t="s">
        <v>4856</v>
      </c>
      <c r="B12" s="95">
        <v>0</v>
      </c>
      <c r="C12" s="95">
        <v>1000</v>
      </c>
      <c r="D12" s="99" t="s">
        <v>315</v>
      </c>
      <c r="E12" s="96"/>
      <c r="F12" s="96"/>
      <c r="G12" s="96"/>
    </row>
    <row r="13" spans="1:7">
      <c r="A13" s="99" t="s">
        <v>4857</v>
      </c>
      <c r="B13" s="95">
        <v>0</v>
      </c>
      <c r="C13" s="95">
        <v>1000</v>
      </c>
      <c r="D13" s="99" t="s">
        <v>315</v>
      </c>
      <c r="E13" s="96"/>
      <c r="F13" s="96"/>
      <c r="G13" s="96"/>
    </row>
    <row r="14" spans="1:7">
      <c r="A14" s="99" t="s">
        <v>4893</v>
      </c>
      <c r="B14" s="95">
        <v>0</v>
      </c>
      <c r="C14" s="95">
        <v>1000</v>
      </c>
      <c r="D14" s="99" t="s">
        <v>315</v>
      </c>
      <c r="E14" s="96"/>
      <c r="F14" s="96"/>
      <c r="G14" s="96"/>
    </row>
    <row r="15" spans="1:7">
      <c r="A15" s="99" t="s">
        <v>4872</v>
      </c>
      <c r="B15" s="95">
        <v>0</v>
      </c>
      <c r="C15" s="95">
        <v>1000</v>
      </c>
      <c r="D15" s="99" t="s">
        <v>315</v>
      </c>
      <c r="E15" s="96"/>
      <c r="F15" s="96"/>
      <c r="G15" s="96"/>
    </row>
    <row r="16" spans="1:7">
      <c r="A16" s="99" t="s">
        <v>974</v>
      </c>
      <c r="B16" s="95">
        <v>10200</v>
      </c>
      <c r="C16" s="95">
        <v>0</v>
      </c>
      <c r="D16" s="99" t="s">
        <v>4773</v>
      </c>
      <c r="E16" s="96"/>
      <c r="F16" s="96"/>
      <c r="G16" s="96"/>
    </row>
    <row r="17" spans="1:7">
      <c r="A17" s="99" t="s">
        <v>974</v>
      </c>
      <c r="B17" s="95">
        <v>0</v>
      </c>
      <c r="C17" s="95">
        <v>1500</v>
      </c>
      <c r="D17" s="99" t="s">
        <v>315</v>
      </c>
      <c r="E17" s="96"/>
      <c r="F17" s="96"/>
      <c r="G17" s="96"/>
    </row>
    <row r="18" spans="1:7">
      <c r="A18" s="99" t="s">
        <v>4898</v>
      </c>
      <c r="B18" s="95">
        <v>0</v>
      </c>
      <c r="C18" s="95">
        <v>1000</v>
      </c>
      <c r="D18" s="99" t="s">
        <v>315</v>
      </c>
      <c r="E18" s="96"/>
      <c r="F18" s="96"/>
      <c r="G18" s="96"/>
    </row>
    <row r="19" spans="1:7">
      <c r="A19" s="99" t="s">
        <v>4902</v>
      </c>
      <c r="B19" s="95">
        <v>0</v>
      </c>
      <c r="C19" s="95">
        <v>1000</v>
      </c>
      <c r="D19" s="99" t="s">
        <v>315</v>
      </c>
      <c r="E19" s="96"/>
      <c r="F19" s="96"/>
      <c r="G19" s="96"/>
    </row>
    <row r="20" spans="1:7">
      <c r="A20" s="99" t="s">
        <v>4905</v>
      </c>
      <c r="B20" s="95">
        <v>0</v>
      </c>
      <c r="C20" s="95">
        <v>1000</v>
      </c>
      <c r="D20" s="99" t="s">
        <v>315</v>
      </c>
      <c r="E20" s="96"/>
      <c r="F20" s="96"/>
      <c r="G20" s="96"/>
    </row>
    <row r="21" spans="1:7">
      <c r="A21" s="99" t="s">
        <v>4914</v>
      </c>
      <c r="B21" s="95">
        <v>0</v>
      </c>
      <c r="C21" s="95">
        <v>1000</v>
      </c>
      <c r="D21" s="99" t="s">
        <v>315</v>
      </c>
      <c r="E21" s="96"/>
      <c r="F21" s="96"/>
      <c r="G21" s="96"/>
    </row>
    <row r="22" spans="1:7">
      <c r="A22" s="99" t="s">
        <v>4914</v>
      </c>
      <c r="B22" s="95">
        <v>9600</v>
      </c>
      <c r="C22" s="95">
        <v>0</v>
      </c>
      <c r="D22" s="99" t="s">
        <v>4773</v>
      </c>
      <c r="E22" s="96"/>
      <c r="F22" s="96"/>
      <c r="G22" s="96"/>
    </row>
    <row r="23" spans="1:7">
      <c r="A23" s="99"/>
      <c r="B23" s="95"/>
      <c r="C23" s="95"/>
      <c r="D23" s="99"/>
      <c r="E23" s="96"/>
      <c r="F23" s="96"/>
      <c r="G23" s="96"/>
    </row>
    <row r="24" spans="1:7">
      <c r="A24" s="99"/>
      <c r="B24" s="95"/>
      <c r="C24" s="95"/>
      <c r="D24" s="99"/>
      <c r="E24" s="96"/>
      <c r="F24" s="96"/>
      <c r="G24" s="96"/>
    </row>
    <row r="25" spans="1:7">
      <c r="A25" s="99"/>
      <c r="B25" s="95"/>
      <c r="C25" s="95"/>
      <c r="D25" s="99"/>
    </row>
    <row r="26" spans="1:7">
      <c r="A26" s="99"/>
      <c r="B26" s="95"/>
      <c r="C26" s="95"/>
      <c r="D26" s="99"/>
    </row>
    <row r="27" spans="1:7">
      <c r="A27" s="99"/>
      <c r="B27" s="95"/>
      <c r="C27" s="95"/>
      <c r="D27" s="99"/>
    </row>
    <row r="28" spans="1:7">
      <c r="A28" s="99"/>
      <c r="B28" s="99"/>
      <c r="C28" s="99"/>
      <c r="D28" s="99"/>
    </row>
    <row r="29" spans="1:7">
      <c r="A29" s="99"/>
      <c r="B29" s="99"/>
      <c r="C29" s="99"/>
      <c r="D29" s="99"/>
    </row>
    <row r="30" spans="1:7">
      <c r="A30" s="99" t="s">
        <v>6</v>
      </c>
      <c r="B30" s="95">
        <f>SUM(B2:B29)</f>
        <v>49500</v>
      </c>
      <c r="C30" s="95">
        <f>SUM(C2:C29)</f>
        <v>23000</v>
      </c>
      <c r="D30" s="99"/>
    </row>
    <row r="32" spans="1:7">
      <c r="A32" s="23" t="s">
        <v>4804</v>
      </c>
      <c r="B32" s="228">
        <v>6700</v>
      </c>
      <c r="C32" s="228">
        <v>0</v>
      </c>
      <c r="D32" s="23" t="s">
        <v>4807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K1" zoomScaleNormal="100" workbookViewId="0">
      <pane ySplit="1" topLeftCell="A2" activePane="bottomLeft" state="frozen"/>
      <selection pane="bottomLeft" activeCell="N10" sqref="N10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754</v>
      </c>
      <c r="F2" s="11">
        <f>IF(B2&gt;0,1,0)</f>
        <v>1</v>
      </c>
      <c r="G2" s="11">
        <f>B2*(E2-F2)</f>
        <v>37650000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750</v>
      </c>
      <c r="F3" s="11">
        <f t="shared" ref="F3:F38" si="1">IF(B3&gt;0,1,0)</f>
        <v>1</v>
      </c>
      <c r="G3" s="11">
        <f t="shared" ref="G3:G23" si="2">B3*(E3-F3)</f>
        <v>2247000000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749</v>
      </c>
      <c r="F4" s="11">
        <f t="shared" si="1"/>
        <v>1</v>
      </c>
      <c r="G4" s="11">
        <f t="shared" si="2"/>
        <v>2244000000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749</v>
      </c>
      <c r="F5" s="11">
        <f t="shared" si="1"/>
        <v>1</v>
      </c>
      <c r="G5" s="11">
        <f t="shared" si="2"/>
        <v>11220000000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748</v>
      </c>
      <c r="F6" s="11">
        <f t="shared" si="1"/>
        <v>1</v>
      </c>
      <c r="G6" s="11">
        <f t="shared" si="2"/>
        <v>2241000000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3923</v>
      </c>
      <c r="R6" s="25" t="s">
        <v>4139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747</v>
      </c>
      <c r="F7" s="11">
        <f t="shared" si="1"/>
        <v>0</v>
      </c>
      <c r="G7" s="11">
        <f t="shared" si="2"/>
        <v>-2241000000</v>
      </c>
      <c r="K7" t="s">
        <v>289</v>
      </c>
      <c r="L7" s="34">
        <v>410023384051</v>
      </c>
      <c r="M7" s="33" t="s">
        <v>326</v>
      </c>
      <c r="N7" t="s">
        <v>3924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747</v>
      </c>
      <c r="F8" s="11">
        <f t="shared" si="1"/>
        <v>0</v>
      </c>
      <c r="G8" s="11">
        <f t="shared" si="2"/>
        <v>-149400000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4140</v>
      </c>
      <c r="R8" s="115" t="s">
        <v>4141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747</v>
      </c>
      <c r="F9" s="11">
        <f t="shared" si="1"/>
        <v>1</v>
      </c>
      <c r="G9" s="11">
        <f>B9*(E9-F9)</f>
        <v>2238000000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746</v>
      </c>
      <c r="F10" s="11">
        <f t="shared" si="1"/>
        <v>1</v>
      </c>
      <c r="G10" s="11">
        <f t="shared" si="2"/>
        <v>2235000000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3922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746</v>
      </c>
      <c r="F11" s="11">
        <f t="shared" si="1"/>
        <v>1</v>
      </c>
      <c r="G11" s="11">
        <f t="shared" si="2"/>
        <v>18625000000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743</v>
      </c>
      <c r="F12" s="11">
        <f t="shared" si="1"/>
        <v>1</v>
      </c>
      <c r="G12" s="11">
        <f t="shared" si="2"/>
        <v>740760860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743</v>
      </c>
      <c r="F13" s="11">
        <f t="shared" si="1"/>
        <v>1</v>
      </c>
      <c r="G13" s="11">
        <f t="shared" si="2"/>
        <v>2226000000</v>
      </c>
      <c r="K13" t="s">
        <v>1139</v>
      </c>
      <c r="L13" t="s">
        <v>1136</v>
      </c>
      <c r="N13" t="s">
        <v>1141</v>
      </c>
      <c r="P13" t="s">
        <v>1135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743</v>
      </c>
      <c r="F14" s="11">
        <f t="shared" si="1"/>
        <v>1</v>
      </c>
      <c r="G14" s="11">
        <f t="shared" si="2"/>
        <v>883793232</v>
      </c>
      <c r="K14" t="s">
        <v>1138</v>
      </c>
      <c r="L14" t="s">
        <v>1137</v>
      </c>
      <c r="M14" t="s">
        <v>1140</v>
      </c>
      <c r="N14" t="s">
        <v>1142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731</v>
      </c>
      <c r="F15" s="11">
        <f t="shared" si="1"/>
        <v>1</v>
      </c>
      <c r="G15" s="11">
        <f t="shared" si="2"/>
        <v>1460000000</v>
      </c>
      <c r="K15" t="s">
        <v>4803</v>
      </c>
      <c r="L15">
        <v>451474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719</v>
      </c>
      <c r="F16" s="11">
        <f t="shared" si="1"/>
        <v>1</v>
      </c>
      <c r="G16" s="11">
        <f t="shared" si="2"/>
        <v>2154000000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718</v>
      </c>
      <c r="F17" s="11">
        <f t="shared" si="1"/>
        <v>1</v>
      </c>
      <c r="G17" s="11">
        <f t="shared" si="2"/>
        <v>2151000000</v>
      </c>
      <c r="K17" t="s">
        <v>1146</v>
      </c>
      <c r="L17">
        <v>200011228</v>
      </c>
      <c r="M17" t="s">
        <v>1147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717</v>
      </c>
      <c r="F18" s="11">
        <f t="shared" si="1"/>
        <v>1</v>
      </c>
      <c r="G18" s="11">
        <f t="shared" si="2"/>
        <v>1360400000</v>
      </c>
      <c r="K18" t="s">
        <v>3889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702</v>
      </c>
      <c r="F19" s="11">
        <f t="shared" si="1"/>
        <v>1</v>
      </c>
      <c r="G19" s="11">
        <f t="shared" si="2"/>
        <v>563963613</v>
      </c>
      <c r="K19" t="s">
        <v>4026</v>
      </c>
      <c r="L19" t="s">
        <v>4027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701</v>
      </c>
      <c r="F20" s="11">
        <f t="shared" si="1"/>
        <v>1</v>
      </c>
      <c r="G20" s="11">
        <f t="shared" si="2"/>
        <v>2100000000</v>
      </c>
      <c r="K20" t="s">
        <v>4028</v>
      </c>
      <c r="L20" t="s">
        <v>4187</v>
      </c>
      <c r="M20" t="s">
        <v>4029</v>
      </c>
      <c r="N20" t="s">
        <v>4188</v>
      </c>
      <c r="O20" t="s">
        <v>4109</v>
      </c>
      <c r="P20" t="s">
        <v>4110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695</v>
      </c>
      <c r="F21" s="11">
        <f t="shared" si="1"/>
        <v>1</v>
      </c>
      <c r="G21" s="11">
        <f t="shared" si="2"/>
        <v>347000000</v>
      </c>
      <c r="K21" s="96" t="s">
        <v>4357</v>
      </c>
      <c r="L21" s="33" t="s">
        <v>4359</v>
      </c>
      <c r="M21" s="96" t="s">
        <v>4358</v>
      </c>
      <c r="N21" s="188" t="s">
        <v>4360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681</v>
      </c>
      <c r="F22" s="11">
        <f t="shared" si="1"/>
        <v>0</v>
      </c>
      <c r="G22" s="11">
        <f t="shared" si="2"/>
        <v>-2043000000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673</v>
      </c>
      <c r="F23" s="11">
        <f t="shared" si="1"/>
        <v>1</v>
      </c>
      <c r="G23" s="11">
        <f t="shared" si="2"/>
        <v>2016000000</v>
      </c>
      <c r="K23" t="s">
        <v>4323</v>
      </c>
      <c r="L23">
        <v>9149046982</v>
      </c>
      <c r="M23" t="s">
        <v>4324</v>
      </c>
      <c r="N23" t="s">
        <v>4325</v>
      </c>
      <c r="O23" t="s">
        <v>4326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673</v>
      </c>
      <c r="F24" s="11">
        <f t="shared" si="1"/>
        <v>1</v>
      </c>
      <c r="G24" s="11">
        <f>B24*(E24-F24)</f>
        <v>423926496</v>
      </c>
      <c r="K24" t="s">
        <v>4327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671</v>
      </c>
      <c r="F25" s="11">
        <f t="shared" si="1"/>
        <v>0</v>
      </c>
      <c r="G25" s="11">
        <f t="shared" ref="G25:G30" si="3">B25*(E25-F25)</f>
        <v>-2147803900</v>
      </c>
      <c r="K25" t="s">
        <v>4328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669</v>
      </c>
      <c r="F26" s="11">
        <f t="shared" si="1"/>
        <v>0</v>
      </c>
      <c r="G26" s="11">
        <f t="shared" si="3"/>
        <v>-2007602100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667</v>
      </c>
      <c r="F27" s="11">
        <f t="shared" si="1"/>
        <v>1</v>
      </c>
      <c r="G27" s="11">
        <f t="shared" si="3"/>
        <v>666000000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667</v>
      </c>
      <c r="F28" s="11">
        <f t="shared" si="1"/>
        <v>1</v>
      </c>
      <c r="G28" s="11">
        <f t="shared" si="3"/>
        <v>3996000000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667</v>
      </c>
      <c r="F29" s="11">
        <f t="shared" si="1"/>
        <v>1</v>
      </c>
      <c r="G29" s="11">
        <f t="shared" si="3"/>
        <v>3862800000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667</v>
      </c>
      <c r="F30" s="11">
        <f t="shared" si="1"/>
        <v>0</v>
      </c>
      <c r="G30" s="11">
        <f t="shared" si="3"/>
        <v>-3335000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666</v>
      </c>
      <c r="F31" s="11">
        <f t="shared" si="1"/>
        <v>0</v>
      </c>
      <c r="G31" s="11">
        <f>B31*(E31-F31)</f>
        <v>-17316000000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664</v>
      </c>
      <c r="F32" s="11">
        <f t="shared" si="1"/>
        <v>0</v>
      </c>
      <c r="G32" s="11">
        <f>B32*(E32-F32)</f>
        <v>-17396800000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645</v>
      </c>
      <c r="F33" s="11">
        <f t="shared" si="1"/>
        <v>1</v>
      </c>
      <c r="G33" s="11">
        <f>B33*(E33-F33)</f>
        <v>210591220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627</v>
      </c>
      <c r="F34" s="11">
        <f t="shared" si="1"/>
        <v>1</v>
      </c>
      <c r="G34" s="11">
        <f t="shared" ref="G34:G195" si="4">B34*(E34-F34)</f>
        <v>17778400000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627</v>
      </c>
      <c r="F35" s="11">
        <f t="shared" si="1"/>
        <v>1</v>
      </c>
      <c r="G35" s="12">
        <f t="shared" si="4"/>
        <v>6886000000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612</v>
      </c>
      <c r="F36" s="11">
        <f t="shared" si="1"/>
        <v>1</v>
      </c>
      <c r="G36" s="11">
        <f t="shared" si="4"/>
        <v>255826311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612</v>
      </c>
      <c r="F37" s="11">
        <f t="shared" si="1"/>
        <v>0</v>
      </c>
      <c r="G37" s="11">
        <f t="shared" si="4"/>
        <v>-550800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611</v>
      </c>
      <c r="F38" s="11">
        <f t="shared" si="1"/>
        <v>1</v>
      </c>
      <c r="G38" s="12">
        <f t="shared" si="4"/>
        <v>1220000000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611</v>
      </c>
      <c r="F39" s="11">
        <f>IF(B39&gt;0,1,0)</f>
        <v>1</v>
      </c>
      <c r="G39" s="11">
        <f t="shared" si="4"/>
        <v>1220000000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597</v>
      </c>
      <c r="F40" s="11">
        <f>IF(B40&gt;0,1,0)</f>
        <v>0</v>
      </c>
      <c r="G40" s="11">
        <f t="shared" si="4"/>
        <v>-119400000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597</v>
      </c>
      <c r="F41" s="11">
        <f>IF(B41&gt;0,1,0)</f>
        <v>0</v>
      </c>
      <c r="G41" s="11">
        <f t="shared" si="4"/>
        <v>-370140000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597</v>
      </c>
      <c r="F42" s="11">
        <f t="shared" ref="F42:F195" si="5">IF(B42&gt;0,1,0)</f>
        <v>0</v>
      </c>
      <c r="G42" s="11">
        <f t="shared" si="4"/>
        <v>-71640000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595</v>
      </c>
      <c r="F43" s="11">
        <f t="shared" si="5"/>
        <v>1</v>
      </c>
      <c r="G43" s="11">
        <f t="shared" si="4"/>
        <v>386100000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595</v>
      </c>
      <c r="F44" s="11">
        <f t="shared" si="5"/>
        <v>0</v>
      </c>
      <c r="G44" s="11">
        <f t="shared" si="4"/>
        <v>-2975000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595</v>
      </c>
      <c r="F45" s="11">
        <f t="shared" si="5"/>
        <v>1</v>
      </c>
      <c r="G45" s="11">
        <f t="shared" si="4"/>
        <v>17226000000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591</v>
      </c>
      <c r="F46" s="11">
        <f t="shared" si="5"/>
        <v>0</v>
      </c>
      <c r="G46" s="11">
        <f t="shared" si="4"/>
        <v>-118200000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588</v>
      </c>
      <c r="F47" s="11">
        <f t="shared" si="5"/>
        <v>0</v>
      </c>
      <c r="G47" s="11">
        <f t="shared" si="4"/>
        <v>-117600000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587</v>
      </c>
      <c r="F48" s="11">
        <f t="shared" si="5"/>
        <v>0</v>
      </c>
      <c r="G48" s="11">
        <f t="shared" si="4"/>
        <v>-117400000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582</v>
      </c>
      <c r="F49" s="11">
        <f t="shared" si="5"/>
        <v>1</v>
      </c>
      <c r="G49" s="11">
        <f t="shared" si="4"/>
        <v>1743000000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582</v>
      </c>
      <c r="F50" s="11">
        <f t="shared" si="5"/>
        <v>1</v>
      </c>
      <c r="G50" s="12">
        <f t="shared" si="4"/>
        <v>1743000000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581</v>
      </c>
      <c r="F51" s="11">
        <f t="shared" si="5"/>
        <v>1</v>
      </c>
      <c r="G51" s="11">
        <f t="shared" si="4"/>
        <v>444162260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581</v>
      </c>
      <c r="F52" s="11">
        <f t="shared" si="5"/>
        <v>0</v>
      </c>
      <c r="G52" s="11">
        <f t="shared" si="4"/>
        <v>-116200000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574</v>
      </c>
      <c r="F53" s="11">
        <f t="shared" si="5"/>
        <v>0</v>
      </c>
      <c r="G53" s="11">
        <f t="shared" si="4"/>
        <v>-229887000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565</v>
      </c>
      <c r="F54" s="11">
        <f t="shared" si="5"/>
        <v>0</v>
      </c>
      <c r="G54" s="11">
        <f t="shared" si="4"/>
        <v>-565223740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559</v>
      </c>
      <c r="F55" s="11">
        <f t="shared" si="5"/>
        <v>0</v>
      </c>
      <c r="G55" s="11">
        <f t="shared" si="4"/>
        <v>-22360000000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550</v>
      </c>
      <c r="F56" s="11">
        <f t="shared" si="5"/>
        <v>1</v>
      </c>
      <c r="G56" s="11">
        <f t="shared" si="4"/>
        <v>475242948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523</v>
      </c>
      <c r="F57" s="11">
        <f t="shared" si="5"/>
        <v>0</v>
      </c>
      <c r="G57" s="11">
        <f t="shared" si="4"/>
        <v>-26254600000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522</v>
      </c>
      <c r="F58" s="11">
        <f t="shared" si="5"/>
        <v>0</v>
      </c>
      <c r="G58" s="11">
        <f t="shared" si="4"/>
        <v>-6368661000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519</v>
      </c>
      <c r="F59" s="11">
        <f t="shared" si="5"/>
        <v>1</v>
      </c>
      <c r="G59" s="11">
        <f t="shared" si="4"/>
        <v>277081308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518</v>
      </c>
      <c r="F60" s="11">
        <f t="shared" si="5"/>
        <v>0</v>
      </c>
      <c r="G60" s="11">
        <f t="shared" si="4"/>
        <v>-175084000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516</v>
      </c>
      <c r="F61" s="11">
        <f t="shared" si="5"/>
        <v>0</v>
      </c>
      <c r="G61" s="11">
        <f t="shared" si="4"/>
        <v>-77400000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512</v>
      </c>
      <c r="F62" s="11">
        <f t="shared" si="5"/>
        <v>0</v>
      </c>
      <c r="G62" s="11">
        <f t="shared" si="4"/>
        <v>-51200000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508</v>
      </c>
      <c r="F63" s="11">
        <f t="shared" si="5"/>
        <v>0</v>
      </c>
      <c r="G63" s="11">
        <f t="shared" si="4"/>
        <v>-101600000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508</v>
      </c>
      <c r="F64" s="11">
        <f t="shared" si="5"/>
        <v>0</v>
      </c>
      <c r="G64" s="11">
        <f t="shared" si="4"/>
        <v>-44196000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504</v>
      </c>
      <c r="F65" s="11">
        <f t="shared" si="5"/>
        <v>0</v>
      </c>
      <c r="G65" s="11">
        <f t="shared" si="4"/>
        <v>-13844880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503</v>
      </c>
      <c r="F66" s="11">
        <f t="shared" si="5"/>
        <v>0</v>
      </c>
      <c r="G66" s="11">
        <f t="shared" si="4"/>
        <v>-168002000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498</v>
      </c>
      <c r="F67" s="11">
        <f t="shared" si="5"/>
        <v>0</v>
      </c>
      <c r="G67" s="11">
        <f t="shared" si="4"/>
        <v>-9960000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497</v>
      </c>
      <c r="F68" s="11">
        <f t="shared" si="5"/>
        <v>0</v>
      </c>
      <c r="G68" s="11">
        <f t="shared" si="4"/>
        <v>-149348500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497</v>
      </c>
      <c r="F69" s="11">
        <f t="shared" si="5"/>
        <v>0</v>
      </c>
      <c r="G69" s="11">
        <f t="shared" si="4"/>
        <v>-49700000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492</v>
      </c>
      <c r="F70" s="11">
        <f t="shared" si="5"/>
        <v>0</v>
      </c>
      <c r="G70" s="11">
        <f t="shared" si="4"/>
        <v>-98400000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488</v>
      </c>
      <c r="F71" s="11">
        <f t="shared" si="5"/>
        <v>1</v>
      </c>
      <c r="G71" s="11">
        <f t="shared" si="4"/>
        <v>7494443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488</v>
      </c>
      <c r="F72" s="11">
        <f t="shared" si="5"/>
        <v>1</v>
      </c>
      <c r="G72" s="11">
        <f t="shared" si="4"/>
        <v>1948000000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488</v>
      </c>
      <c r="F73" s="11">
        <f t="shared" si="5"/>
        <v>1</v>
      </c>
      <c r="G73" s="11">
        <f t="shared" si="4"/>
        <v>1266200000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488</v>
      </c>
      <c r="F74" s="11">
        <f t="shared" si="5"/>
        <v>1</v>
      </c>
      <c r="G74" s="11">
        <f t="shared" si="4"/>
        <v>1461000000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485</v>
      </c>
      <c r="F75" s="11">
        <f t="shared" si="5"/>
        <v>0</v>
      </c>
      <c r="G75" s="11">
        <f t="shared" si="4"/>
        <v>-97000000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482</v>
      </c>
      <c r="F76" s="11">
        <f t="shared" si="5"/>
        <v>0</v>
      </c>
      <c r="G76" s="11">
        <f t="shared" si="4"/>
        <v>-964337400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482</v>
      </c>
      <c r="F77" s="11">
        <f t="shared" si="5"/>
        <v>0</v>
      </c>
      <c r="G77" s="11">
        <f t="shared" si="4"/>
        <v>-96400000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478</v>
      </c>
      <c r="F78" s="11">
        <f t="shared" si="5"/>
        <v>1</v>
      </c>
      <c r="G78" s="11">
        <f t="shared" si="4"/>
        <v>954000000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470</v>
      </c>
      <c r="F79" s="11">
        <f t="shared" si="5"/>
        <v>0</v>
      </c>
      <c r="G79" s="11">
        <f t="shared" si="4"/>
        <v>-470235000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470</v>
      </c>
      <c r="F80" s="11">
        <f t="shared" si="5"/>
        <v>0</v>
      </c>
      <c r="G80" s="11">
        <f t="shared" si="4"/>
        <v>-66716500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467</v>
      </c>
      <c r="F81" s="11">
        <f t="shared" si="5"/>
        <v>0</v>
      </c>
      <c r="G81" s="11">
        <f t="shared" si="4"/>
        <v>-420533500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457</v>
      </c>
      <c r="F82" s="11">
        <f t="shared" si="5"/>
        <v>1</v>
      </c>
      <c r="G82" s="11">
        <f t="shared" si="4"/>
        <v>37050456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435</v>
      </c>
      <c r="F83" s="11">
        <f t="shared" si="5"/>
        <v>1</v>
      </c>
      <c r="G83" s="11">
        <f t="shared" si="4"/>
        <v>21700000000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434</v>
      </c>
      <c r="F84" s="11">
        <f t="shared" si="5"/>
        <v>1</v>
      </c>
      <c r="G84" s="11">
        <f t="shared" si="4"/>
        <v>12990000000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434</v>
      </c>
      <c r="F85" s="11">
        <f t="shared" si="5"/>
        <v>0</v>
      </c>
      <c r="G85" s="11">
        <f t="shared" si="4"/>
        <v>-31465000000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433</v>
      </c>
      <c r="F86" s="11">
        <f t="shared" si="5"/>
        <v>0</v>
      </c>
      <c r="G86" s="11">
        <f t="shared" si="4"/>
        <v>-121673000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428</v>
      </c>
      <c r="F87" s="11">
        <f t="shared" si="5"/>
        <v>1</v>
      </c>
      <c r="G87" s="11">
        <f t="shared" si="4"/>
        <v>1067500000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427</v>
      </c>
      <c r="F88" s="11">
        <f t="shared" si="5"/>
        <v>1</v>
      </c>
      <c r="G88" s="11">
        <f t="shared" si="4"/>
        <v>33372840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422</v>
      </c>
      <c r="F89" s="11">
        <f t="shared" si="5"/>
        <v>1</v>
      </c>
      <c r="G89" s="11">
        <f t="shared" si="4"/>
        <v>6315000000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397</v>
      </c>
      <c r="F90" s="11">
        <f t="shared" si="5"/>
        <v>1</v>
      </c>
      <c r="G90" s="11">
        <f t="shared" si="4"/>
        <v>96959016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368</v>
      </c>
      <c r="F91" s="11">
        <f t="shared" si="5"/>
        <v>1</v>
      </c>
      <c r="G91" s="11">
        <f t="shared" si="4"/>
        <v>99880885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338</v>
      </c>
      <c r="F92" s="11">
        <f t="shared" si="5"/>
        <v>1</v>
      </c>
      <c r="G92" s="11">
        <f t="shared" si="4"/>
        <v>1011000000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338</v>
      </c>
      <c r="F93" s="11">
        <f t="shared" si="5"/>
        <v>1</v>
      </c>
      <c r="G93" s="11">
        <f t="shared" si="4"/>
        <v>92467745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337</v>
      </c>
      <c r="F94" s="11">
        <f t="shared" si="5"/>
        <v>1</v>
      </c>
      <c r="G94" s="11">
        <f t="shared" si="4"/>
        <v>1848000000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336</v>
      </c>
      <c r="F95" s="11">
        <f t="shared" si="5"/>
        <v>1</v>
      </c>
      <c r="G95" s="11">
        <f t="shared" si="4"/>
        <v>1005000000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335</v>
      </c>
      <c r="F96" s="11">
        <f t="shared" si="5"/>
        <v>1</v>
      </c>
      <c r="G96" s="11">
        <f t="shared" si="4"/>
        <v>1002000000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334</v>
      </c>
      <c r="F97" s="11">
        <f t="shared" si="5"/>
        <v>1</v>
      </c>
      <c r="G97" s="11">
        <f t="shared" si="4"/>
        <v>999000000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333</v>
      </c>
      <c r="F98" s="11">
        <f t="shared" si="5"/>
        <v>1</v>
      </c>
      <c r="G98" s="11">
        <f t="shared" si="4"/>
        <v>996000000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332</v>
      </c>
      <c r="F99" s="11">
        <f t="shared" si="5"/>
        <v>1</v>
      </c>
      <c r="G99" s="11">
        <f t="shared" si="4"/>
        <v>993000000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330</v>
      </c>
      <c r="F100" s="11">
        <f t="shared" si="5"/>
        <v>1</v>
      </c>
      <c r="G100" s="11">
        <f t="shared" si="4"/>
        <v>328835500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329</v>
      </c>
      <c r="F101" s="11">
        <f t="shared" si="5"/>
        <v>0</v>
      </c>
      <c r="G101" s="11">
        <f t="shared" si="4"/>
        <v>-653624300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308</v>
      </c>
      <c r="F102" s="11">
        <f t="shared" si="5"/>
        <v>1</v>
      </c>
      <c r="G102" s="11">
        <f t="shared" si="4"/>
        <v>921000000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308</v>
      </c>
      <c r="F103" s="11">
        <f t="shared" si="5"/>
        <v>1</v>
      </c>
      <c r="G103" s="11">
        <f t="shared" si="4"/>
        <v>90718500</v>
      </c>
    </row>
    <row r="104" spans="1:7">
      <c r="A104" s="164" t="s">
        <v>25</v>
      </c>
      <c r="B104" s="165"/>
      <c r="C104" s="166"/>
      <c r="D104" s="164"/>
      <c r="E104" s="164"/>
      <c r="F104" s="164"/>
      <c r="G104" s="164"/>
    </row>
    <row r="105" spans="1:7">
      <c r="A105" s="99" t="s">
        <v>3960</v>
      </c>
      <c r="B105" s="38">
        <f>SUM(B2:B103)</f>
        <v>59475793</v>
      </c>
      <c r="C105" s="73" t="s">
        <v>3959</v>
      </c>
      <c r="D105" s="99">
        <v>1</v>
      </c>
      <c r="E105" s="99">
        <f>D105+E106</f>
        <v>294</v>
      </c>
      <c r="F105" s="99">
        <f t="shared" si="5"/>
        <v>1</v>
      </c>
      <c r="G105" s="99">
        <f t="shared" si="4"/>
        <v>17426407349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293</v>
      </c>
      <c r="F106" s="11">
        <f t="shared" si="5"/>
        <v>0</v>
      </c>
      <c r="G106" s="11">
        <f t="shared" si="4"/>
        <v>-2930000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287</v>
      </c>
      <c r="F107" s="11">
        <f t="shared" si="5"/>
        <v>1</v>
      </c>
      <c r="G107" s="11">
        <f t="shared" si="4"/>
        <v>571714000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282</v>
      </c>
      <c r="F108" s="11">
        <f t="shared" si="5"/>
        <v>0</v>
      </c>
      <c r="G108" s="11">
        <f t="shared" si="4"/>
        <v>-16920000000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282</v>
      </c>
      <c r="F109" s="11">
        <f t="shared" si="5"/>
        <v>1</v>
      </c>
      <c r="G109" s="11">
        <f t="shared" si="4"/>
        <v>1643850000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281</v>
      </c>
      <c r="F110" s="11">
        <f t="shared" si="5"/>
        <v>1</v>
      </c>
      <c r="G110" s="11">
        <f t="shared" si="4"/>
        <v>840000000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280</v>
      </c>
      <c r="F111" s="11">
        <f t="shared" si="5"/>
        <v>1</v>
      </c>
      <c r="G111" s="11">
        <f t="shared" si="4"/>
        <v>558000000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280</v>
      </c>
      <c r="F112" s="11">
        <f t="shared" si="5"/>
        <v>0</v>
      </c>
      <c r="G112" s="11">
        <f t="shared" si="4"/>
        <v>-1400000000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279</v>
      </c>
      <c r="F113" s="11">
        <f t="shared" si="5"/>
        <v>1</v>
      </c>
      <c r="G113" s="11">
        <f t="shared" si="4"/>
        <v>114721704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271</v>
      </c>
      <c r="F114" s="11">
        <f t="shared" si="5"/>
        <v>1</v>
      </c>
      <c r="G114" s="11">
        <f t="shared" si="4"/>
        <v>11340000000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264</v>
      </c>
      <c r="F115" s="11">
        <f t="shared" si="5"/>
        <v>0</v>
      </c>
      <c r="G115" s="11">
        <f t="shared" si="4"/>
        <v>-6600000000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263</v>
      </c>
      <c r="F116" s="11">
        <f t="shared" si="5"/>
        <v>0</v>
      </c>
      <c r="G116" s="11">
        <f t="shared" si="4"/>
        <v>-52600000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261</v>
      </c>
      <c r="F117" s="11">
        <f t="shared" si="5"/>
        <v>0</v>
      </c>
      <c r="G117" s="11">
        <f t="shared" si="4"/>
        <v>-4698000000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260</v>
      </c>
      <c r="F118" s="11">
        <f t="shared" si="5"/>
        <v>0</v>
      </c>
      <c r="G118" s="11">
        <f t="shared" si="4"/>
        <v>-650000000</v>
      </c>
    </row>
    <row r="119" spans="1:7">
      <c r="A119" s="11" t="s">
        <v>1143</v>
      </c>
      <c r="B119" s="38">
        <v>595000</v>
      </c>
      <c r="C119" s="73" t="s">
        <v>1027</v>
      </c>
      <c r="D119" s="11">
        <v>2</v>
      </c>
      <c r="E119" s="99">
        <f t="shared" si="7"/>
        <v>250</v>
      </c>
      <c r="F119" s="11">
        <f t="shared" si="5"/>
        <v>1</v>
      </c>
      <c r="G119" s="11">
        <f t="shared" si="4"/>
        <v>148155000</v>
      </c>
    </row>
    <row r="120" spans="1:7">
      <c r="A120" s="11" t="s">
        <v>1145</v>
      </c>
      <c r="B120" s="38">
        <v>137334</v>
      </c>
      <c r="C120" s="73" t="s">
        <v>510</v>
      </c>
      <c r="D120" s="11">
        <v>2</v>
      </c>
      <c r="E120" s="99">
        <f t="shared" si="7"/>
        <v>248</v>
      </c>
      <c r="F120" s="11">
        <f t="shared" si="5"/>
        <v>1</v>
      </c>
      <c r="G120" s="11">
        <f t="shared" si="4"/>
        <v>33921498</v>
      </c>
    </row>
    <row r="121" spans="1:7">
      <c r="A121" s="11" t="s">
        <v>1148</v>
      </c>
      <c r="B121" s="38">
        <v>-3200900</v>
      </c>
      <c r="C121" s="73" t="s">
        <v>1149</v>
      </c>
      <c r="D121" s="11">
        <v>1</v>
      </c>
      <c r="E121" s="99">
        <f t="shared" si="7"/>
        <v>246</v>
      </c>
      <c r="F121" s="11">
        <f t="shared" si="5"/>
        <v>0</v>
      </c>
      <c r="G121" s="11">
        <f t="shared" si="4"/>
        <v>-787421400</v>
      </c>
    </row>
    <row r="122" spans="1:7">
      <c r="A122" s="11" t="s">
        <v>1156</v>
      </c>
      <c r="B122" s="38">
        <v>16276000</v>
      </c>
      <c r="C122" s="73" t="s">
        <v>1158</v>
      </c>
      <c r="D122" s="11">
        <v>3</v>
      </c>
      <c r="E122" s="99">
        <f t="shared" si="7"/>
        <v>245</v>
      </c>
      <c r="F122" s="11">
        <f t="shared" si="5"/>
        <v>1</v>
      </c>
      <c r="G122" s="11">
        <f t="shared" si="4"/>
        <v>3971344000</v>
      </c>
    </row>
    <row r="123" spans="1:7">
      <c r="A123" s="11" t="s">
        <v>1167</v>
      </c>
      <c r="B123" s="38">
        <v>3000000</v>
      </c>
      <c r="C123" s="73" t="s">
        <v>727</v>
      </c>
      <c r="D123" s="11">
        <v>0</v>
      </c>
      <c r="E123" s="99">
        <f t="shared" si="7"/>
        <v>242</v>
      </c>
      <c r="F123" s="11">
        <f t="shared" si="5"/>
        <v>1</v>
      </c>
      <c r="G123" s="99">
        <f t="shared" si="4"/>
        <v>723000000</v>
      </c>
    </row>
    <row r="124" spans="1:7">
      <c r="A124" s="11" t="s">
        <v>1167</v>
      </c>
      <c r="B124" s="38">
        <v>2020000</v>
      </c>
      <c r="C124" s="73" t="s">
        <v>1171</v>
      </c>
      <c r="D124" s="11">
        <v>0</v>
      </c>
      <c r="E124" s="99">
        <f t="shared" si="7"/>
        <v>242</v>
      </c>
      <c r="F124" s="99">
        <f t="shared" si="5"/>
        <v>1</v>
      </c>
      <c r="G124" s="99">
        <f t="shared" si="4"/>
        <v>486820000</v>
      </c>
    </row>
    <row r="125" spans="1:7">
      <c r="A125" s="11" t="s">
        <v>1167</v>
      </c>
      <c r="B125" s="38">
        <v>4975000</v>
      </c>
      <c r="C125" s="73" t="s">
        <v>1168</v>
      </c>
      <c r="D125" s="11">
        <v>1</v>
      </c>
      <c r="E125" s="99">
        <f t="shared" si="7"/>
        <v>242</v>
      </c>
      <c r="F125" s="99">
        <f t="shared" si="5"/>
        <v>1</v>
      </c>
      <c r="G125" s="99">
        <f t="shared" si="4"/>
        <v>1198975000</v>
      </c>
    </row>
    <row r="126" spans="1:7">
      <c r="A126" s="99" t="s">
        <v>1181</v>
      </c>
      <c r="B126" s="38">
        <v>-18500000</v>
      </c>
      <c r="C126" s="73" t="s">
        <v>1109</v>
      </c>
      <c r="D126" s="99">
        <v>0</v>
      </c>
      <c r="E126" s="99">
        <f t="shared" si="7"/>
        <v>241</v>
      </c>
      <c r="F126" s="99">
        <f t="shared" si="5"/>
        <v>0</v>
      </c>
      <c r="G126" s="99">
        <f t="shared" si="4"/>
        <v>-4458500000</v>
      </c>
    </row>
    <row r="127" spans="1:7">
      <c r="A127" s="99" t="s">
        <v>1181</v>
      </c>
      <c r="B127" s="38">
        <v>3000000</v>
      </c>
      <c r="C127" s="73" t="s">
        <v>1187</v>
      </c>
      <c r="D127" s="99">
        <v>0</v>
      </c>
      <c r="E127" s="99">
        <f t="shared" si="7"/>
        <v>241</v>
      </c>
      <c r="F127" s="99">
        <f t="shared" si="5"/>
        <v>1</v>
      </c>
      <c r="G127" s="99">
        <f t="shared" si="4"/>
        <v>720000000</v>
      </c>
    </row>
    <row r="128" spans="1:7">
      <c r="A128" s="99" t="s">
        <v>1181</v>
      </c>
      <c r="B128" s="38">
        <v>-3000900</v>
      </c>
      <c r="C128" s="73" t="s">
        <v>1193</v>
      </c>
      <c r="D128" s="99">
        <v>1</v>
      </c>
      <c r="E128" s="99">
        <f t="shared" si="7"/>
        <v>241</v>
      </c>
      <c r="F128" s="99">
        <f t="shared" si="5"/>
        <v>0</v>
      </c>
      <c r="G128" s="99">
        <f t="shared" si="4"/>
        <v>-723216900</v>
      </c>
    </row>
    <row r="129" spans="1:10">
      <c r="A129" s="99" t="s">
        <v>1190</v>
      </c>
      <c r="B129" s="38">
        <v>900000</v>
      </c>
      <c r="C129" s="73" t="s">
        <v>1192</v>
      </c>
      <c r="D129" s="99">
        <v>0</v>
      </c>
      <c r="E129" s="99">
        <f t="shared" si="7"/>
        <v>240</v>
      </c>
      <c r="F129" s="99">
        <f t="shared" si="5"/>
        <v>1</v>
      </c>
      <c r="G129" s="99">
        <f t="shared" si="4"/>
        <v>215100000</v>
      </c>
    </row>
    <row r="130" spans="1:10">
      <c r="A130" s="99" t="s">
        <v>1190</v>
      </c>
      <c r="B130" s="38">
        <v>-3000900</v>
      </c>
      <c r="C130" s="73" t="s">
        <v>1193</v>
      </c>
      <c r="D130" s="99">
        <v>1</v>
      </c>
      <c r="E130" s="99">
        <f t="shared" si="7"/>
        <v>240</v>
      </c>
      <c r="F130" s="99">
        <f t="shared" si="5"/>
        <v>0</v>
      </c>
      <c r="G130" s="99">
        <f t="shared" si="4"/>
        <v>-720216000</v>
      </c>
    </row>
    <row r="131" spans="1:10">
      <c r="A131" s="99" t="s">
        <v>1197</v>
      </c>
      <c r="B131" s="38">
        <v>-3000900</v>
      </c>
      <c r="C131" s="73" t="s">
        <v>1205</v>
      </c>
      <c r="D131" s="99">
        <v>2</v>
      </c>
      <c r="E131" s="99">
        <f t="shared" si="7"/>
        <v>239</v>
      </c>
      <c r="F131" s="99">
        <f t="shared" si="5"/>
        <v>0</v>
      </c>
      <c r="G131" s="99">
        <f t="shared" si="4"/>
        <v>-717215100</v>
      </c>
    </row>
    <row r="132" spans="1:10">
      <c r="A132" s="99" t="s">
        <v>1206</v>
      </c>
      <c r="B132" s="38">
        <v>-1000500</v>
      </c>
      <c r="C132" s="73" t="s">
        <v>1205</v>
      </c>
      <c r="D132" s="99">
        <v>0</v>
      </c>
      <c r="E132" s="99">
        <f t="shared" si="7"/>
        <v>237</v>
      </c>
      <c r="F132" s="99">
        <f t="shared" si="5"/>
        <v>0</v>
      </c>
      <c r="G132" s="99">
        <f t="shared" si="4"/>
        <v>-237118500</v>
      </c>
    </row>
    <row r="133" spans="1:10">
      <c r="A133" s="99" t="s">
        <v>1206</v>
      </c>
      <c r="B133" s="38">
        <v>100000</v>
      </c>
      <c r="C133" s="73" t="s">
        <v>1207</v>
      </c>
      <c r="D133" s="99">
        <v>2</v>
      </c>
      <c r="E133" s="99">
        <f t="shared" si="7"/>
        <v>237</v>
      </c>
      <c r="F133" s="99">
        <f t="shared" si="5"/>
        <v>1</v>
      </c>
      <c r="G133" s="99">
        <f t="shared" si="4"/>
        <v>23600000</v>
      </c>
    </row>
    <row r="134" spans="1:10">
      <c r="A134" s="99" t="s">
        <v>1209</v>
      </c>
      <c r="B134" s="38">
        <v>-200000</v>
      </c>
      <c r="C134" s="73" t="s">
        <v>1210</v>
      </c>
      <c r="D134" s="99">
        <v>1</v>
      </c>
      <c r="E134" s="99">
        <f t="shared" si="7"/>
        <v>235</v>
      </c>
      <c r="F134" s="99">
        <f t="shared" si="5"/>
        <v>0</v>
      </c>
      <c r="G134" s="99">
        <f t="shared" si="4"/>
        <v>-47000000</v>
      </c>
    </row>
    <row r="135" spans="1:10">
      <c r="A135" s="99" t="s">
        <v>1213</v>
      </c>
      <c r="B135" s="38">
        <v>-2200000</v>
      </c>
      <c r="C135" s="73" t="s">
        <v>1217</v>
      </c>
      <c r="D135" s="99">
        <v>3</v>
      </c>
      <c r="E135" s="99">
        <f t="shared" si="7"/>
        <v>234</v>
      </c>
      <c r="F135" s="99">
        <f t="shared" si="5"/>
        <v>0</v>
      </c>
      <c r="G135" s="99">
        <f t="shared" si="4"/>
        <v>-514800000</v>
      </c>
    </row>
    <row r="136" spans="1:10">
      <c r="A136" s="99" t="s">
        <v>1223</v>
      </c>
      <c r="B136" s="38">
        <v>-905500</v>
      </c>
      <c r="C136" s="73" t="s">
        <v>1224</v>
      </c>
      <c r="D136" s="99">
        <v>3</v>
      </c>
      <c r="E136" s="99">
        <f t="shared" si="7"/>
        <v>231</v>
      </c>
      <c r="F136" s="99">
        <f t="shared" si="5"/>
        <v>0</v>
      </c>
      <c r="G136" s="99">
        <f t="shared" si="4"/>
        <v>-209170500</v>
      </c>
    </row>
    <row r="137" spans="1:10">
      <c r="A137" s="99" t="s">
        <v>1233</v>
      </c>
      <c r="B137" s="38">
        <v>1500000</v>
      </c>
      <c r="C137" s="73" t="s">
        <v>1234</v>
      </c>
      <c r="D137" s="99">
        <v>1</v>
      </c>
      <c r="E137" s="99">
        <f t="shared" si="7"/>
        <v>228</v>
      </c>
      <c r="F137" s="99">
        <f t="shared" si="5"/>
        <v>1</v>
      </c>
      <c r="G137" s="99">
        <f t="shared" si="4"/>
        <v>340500000</v>
      </c>
    </row>
    <row r="138" spans="1:10">
      <c r="A138" s="99" t="s">
        <v>3657</v>
      </c>
      <c r="B138" s="38">
        <v>-1000500</v>
      </c>
      <c r="C138" s="73" t="s">
        <v>1220</v>
      </c>
      <c r="D138" s="99">
        <v>0</v>
      </c>
      <c r="E138" s="99">
        <f t="shared" si="7"/>
        <v>227</v>
      </c>
      <c r="F138" s="99">
        <f t="shared" si="5"/>
        <v>0</v>
      </c>
      <c r="G138" s="99">
        <f t="shared" si="4"/>
        <v>-227113500</v>
      </c>
    </row>
    <row r="139" spans="1:10">
      <c r="A139" s="99" t="s">
        <v>3657</v>
      </c>
      <c r="B139" s="38">
        <v>-365000</v>
      </c>
      <c r="C139" s="73" t="s">
        <v>3659</v>
      </c>
      <c r="D139" s="99">
        <v>2</v>
      </c>
      <c r="E139" s="99">
        <f t="shared" si="7"/>
        <v>227</v>
      </c>
      <c r="F139" s="99">
        <f t="shared" si="5"/>
        <v>0</v>
      </c>
      <c r="G139" s="99">
        <f t="shared" si="4"/>
        <v>-82855000</v>
      </c>
    </row>
    <row r="140" spans="1:10">
      <c r="A140" s="99" t="s">
        <v>3662</v>
      </c>
      <c r="B140" s="38">
        <v>23000000</v>
      </c>
      <c r="C140" s="73" t="s">
        <v>3663</v>
      </c>
      <c r="D140" s="99">
        <v>1</v>
      </c>
      <c r="E140" s="99">
        <f t="shared" si="7"/>
        <v>225</v>
      </c>
      <c r="F140" s="99">
        <f t="shared" si="5"/>
        <v>1</v>
      </c>
      <c r="G140" s="99">
        <f t="shared" si="4"/>
        <v>5152000000</v>
      </c>
      <c r="J140" t="s">
        <v>25</v>
      </c>
    </row>
    <row r="141" spans="1:10">
      <c r="A141" s="99" t="s">
        <v>3665</v>
      </c>
      <c r="B141" s="38">
        <v>1800000</v>
      </c>
      <c r="C141" s="73" t="s">
        <v>3663</v>
      </c>
      <c r="D141" s="99">
        <v>2</v>
      </c>
      <c r="E141" s="99">
        <f t="shared" si="7"/>
        <v>224</v>
      </c>
      <c r="F141" s="99">
        <f t="shared" si="5"/>
        <v>1</v>
      </c>
      <c r="G141" s="99">
        <f t="shared" si="4"/>
        <v>401400000</v>
      </c>
    </row>
    <row r="142" spans="1:10">
      <c r="A142" s="99" t="s">
        <v>3678</v>
      </c>
      <c r="B142" s="38">
        <v>200000</v>
      </c>
      <c r="C142" s="73" t="s">
        <v>3663</v>
      </c>
      <c r="D142" s="99"/>
      <c r="E142" s="99">
        <f t="shared" si="7"/>
        <v>222</v>
      </c>
      <c r="F142" s="99">
        <f t="shared" si="5"/>
        <v>1</v>
      </c>
      <c r="G142" s="99">
        <f t="shared" si="4"/>
        <v>44200000</v>
      </c>
    </row>
    <row r="143" spans="1:10">
      <c r="A143" s="99" t="s">
        <v>3666</v>
      </c>
      <c r="B143" s="38">
        <v>-3200900</v>
      </c>
      <c r="C143" s="73" t="s">
        <v>3667</v>
      </c>
      <c r="D143" s="99">
        <v>1</v>
      </c>
      <c r="E143" s="99">
        <f t="shared" si="7"/>
        <v>222</v>
      </c>
      <c r="F143" s="99">
        <f t="shared" si="5"/>
        <v>0</v>
      </c>
      <c r="G143" s="99">
        <f t="shared" si="4"/>
        <v>-710599800</v>
      </c>
    </row>
    <row r="144" spans="1:10">
      <c r="A144" s="99" t="s">
        <v>3670</v>
      </c>
      <c r="B144" s="38">
        <v>-3020900</v>
      </c>
      <c r="C144" s="73" t="s">
        <v>3671</v>
      </c>
      <c r="D144" s="99">
        <v>1</v>
      </c>
      <c r="E144" s="99">
        <f t="shared" si="7"/>
        <v>221</v>
      </c>
      <c r="F144" s="99">
        <f t="shared" si="5"/>
        <v>0</v>
      </c>
      <c r="G144" s="99">
        <f t="shared" si="4"/>
        <v>-667618900</v>
      </c>
    </row>
    <row r="145" spans="1:10">
      <c r="A145" s="99" t="s">
        <v>3672</v>
      </c>
      <c r="B145" s="38">
        <v>72533</v>
      </c>
      <c r="C145" s="73" t="s">
        <v>3675</v>
      </c>
      <c r="D145" s="99">
        <v>3</v>
      </c>
      <c r="E145" s="99">
        <f t="shared" si="7"/>
        <v>220</v>
      </c>
      <c r="F145" s="99">
        <f t="shared" si="5"/>
        <v>1</v>
      </c>
      <c r="G145" s="99">
        <f t="shared" si="4"/>
        <v>15884727</v>
      </c>
    </row>
    <row r="146" spans="1:10">
      <c r="A146" s="99" t="s">
        <v>3679</v>
      </c>
      <c r="B146" s="38">
        <v>-3000900</v>
      </c>
      <c r="C146" s="73" t="s">
        <v>1205</v>
      </c>
      <c r="D146" s="99">
        <v>1</v>
      </c>
      <c r="E146" s="99">
        <f t="shared" si="7"/>
        <v>217</v>
      </c>
      <c r="F146" s="99">
        <f t="shared" si="5"/>
        <v>0</v>
      </c>
      <c r="G146" s="99">
        <f t="shared" si="4"/>
        <v>-651195300</v>
      </c>
    </row>
    <row r="147" spans="1:10">
      <c r="A147" s="99" t="s">
        <v>3695</v>
      </c>
      <c r="B147" s="38">
        <v>-3001400</v>
      </c>
      <c r="C147" s="73" t="s">
        <v>3697</v>
      </c>
      <c r="D147" s="99">
        <v>0</v>
      </c>
      <c r="E147" s="99">
        <f t="shared" si="7"/>
        <v>216</v>
      </c>
      <c r="F147" s="99">
        <f t="shared" si="5"/>
        <v>0</v>
      </c>
      <c r="G147" s="99">
        <f t="shared" si="4"/>
        <v>-648302400</v>
      </c>
    </row>
    <row r="148" spans="1:10">
      <c r="A148" s="99" t="s">
        <v>3695</v>
      </c>
      <c r="B148" s="38">
        <v>-216910</v>
      </c>
      <c r="C148" s="73" t="s">
        <v>3700</v>
      </c>
      <c r="D148" s="99">
        <v>1</v>
      </c>
      <c r="E148" s="99">
        <f t="shared" si="7"/>
        <v>216</v>
      </c>
      <c r="F148" s="99">
        <f t="shared" si="5"/>
        <v>0</v>
      </c>
      <c r="G148" s="99">
        <f t="shared" si="4"/>
        <v>-46852560</v>
      </c>
    </row>
    <row r="149" spans="1:10">
      <c r="A149" s="99" t="s">
        <v>3701</v>
      </c>
      <c r="B149" s="38">
        <v>-3000900</v>
      </c>
      <c r="C149" s="73" t="s">
        <v>462</v>
      </c>
      <c r="D149" s="99">
        <v>1</v>
      </c>
      <c r="E149" s="99">
        <f t="shared" si="7"/>
        <v>215</v>
      </c>
      <c r="F149" s="99">
        <f t="shared" si="5"/>
        <v>0</v>
      </c>
      <c r="G149" s="99">
        <f t="shared" si="4"/>
        <v>-645193500</v>
      </c>
    </row>
    <row r="150" spans="1:10">
      <c r="A150" s="99" t="s">
        <v>3714</v>
      </c>
      <c r="B150" s="38">
        <v>5900000</v>
      </c>
      <c r="C150" s="73" t="s">
        <v>3715</v>
      </c>
      <c r="D150" s="99">
        <v>13</v>
      </c>
      <c r="E150" s="99">
        <f t="shared" si="7"/>
        <v>214</v>
      </c>
      <c r="F150" s="99">
        <f t="shared" si="5"/>
        <v>1</v>
      </c>
      <c r="G150" s="99">
        <f t="shared" si="4"/>
        <v>1256700000</v>
      </c>
      <c r="J150" t="s">
        <v>25</v>
      </c>
    </row>
    <row r="151" spans="1:10">
      <c r="A151" s="99" t="s">
        <v>3768</v>
      </c>
      <c r="B151" s="38">
        <v>17000000</v>
      </c>
      <c r="C151" s="73" t="s">
        <v>3769</v>
      </c>
      <c r="D151" s="99">
        <v>0</v>
      </c>
      <c r="E151" s="99">
        <f t="shared" si="7"/>
        <v>201</v>
      </c>
      <c r="F151" s="99">
        <f t="shared" si="5"/>
        <v>1</v>
      </c>
      <c r="G151" s="99">
        <f t="shared" si="4"/>
        <v>3400000000</v>
      </c>
    </row>
    <row r="152" spans="1:10">
      <c r="A152" s="99" t="s">
        <v>3768</v>
      </c>
      <c r="B152" s="38">
        <v>-1000</v>
      </c>
      <c r="C152" s="73" t="s">
        <v>3770</v>
      </c>
      <c r="D152" s="99">
        <v>1</v>
      </c>
      <c r="E152" s="99">
        <f t="shared" si="7"/>
        <v>201</v>
      </c>
      <c r="F152" s="99">
        <f t="shared" si="5"/>
        <v>0</v>
      </c>
      <c r="G152" s="99">
        <f t="shared" si="4"/>
        <v>-201000</v>
      </c>
    </row>
    <row r="153" spans="1:10">
      <c r="A153" s="99" t="s">
        <v>3772</v>
      </c>
      <c r="B153" s="38">
        <v>3000000</v>
      </c>
      <c r="C153" s="73" t="s">
        <v>3775</v>
      </c>
      <c r="D153" s="99">
        <v>0</v>
      </c>
      <c r="E153" s="99">
        <f t="shared" si="7"/>
        <v>200</v>
      </c>
      <c r="F153" s="99">
        <f t="shared" si="5"/>
        <v>1</v>
      </c>
      <c r="G153" s="99">
        <f t="shared" si="4"/>
        <v>597000000</v>
      </c>
    </row>
    <row r="154" spans="1:10">
      <c r="A154" s="99" t="s">
        <v>3772</v>
      </c>
      <c r="B154" s="38">
        <v>-18011000</v>
      </c>
      <c r="C154" s="73" t="s">
        <v>3777</v>
      </c>
      <c r="D154" s="99">
        <v>0</v>
      </c>
      <c r="E154" s="99">
        <f t="shared" si="7"/>
        <v>200</v>
      </c>
      <c r="F154" s="99">
        <f t="shared" si="5"/>
        <v>0</v>
      </c>
      <c r="G154" s="99">
        <f t="shared" si="4"/>
        <v>-3602200000</v>
      </c>
    </row>
    <row r="155" spans="1:10">
      <c r="A155" s="99" t="s">
        <v>3772</v>
      </c>
      <c r="B155" s="38">
        <v>-15600000</v>
      </c>
      <c r="C155" s="73" t="s">
        <v>3776</v>
      </c>
      <c r="D155" s="99">
        <v>0</v>
      </c>
      <c r="E155" s="99">
        <f t="shared" si="7"/>
        <v>200</v>
      </c>
      <c r="F155" s="99">
        <f t="shared" si="5"/>
        <v>0</v>
      </c>
      <c r="G155" s="99">
        <f t="shared" si="4"/>
        <v>-3120000000</v>
      </c>
    </row>
    <row r="156" spans="1:10">
      <c r="A156" s="99" t="s">
        <v>3772</v>
      </c>
      <c r="B156" s="38">
        <v>-1400500</v>
      </c>
      <c r="C156" s="73" t="s">
        <v>3778</v>
      </c>
      <c r="D156" s="99">
        <v>0</v>
      </c>
      <c r="E156" s="99">
        <f t="shared" si="7"/>
        <v>200</v>
      </c>
      <c r="F156" s="99">
        <f t="shared" si="5"/>
        <v>0</v>
      </c>
      <c r="G156" s="99">
        <f t="shared" si="4"/>
        <v>-280100000</v>
      </c>
    </row>
    <row r="157" spans="1:10">
      <c r="A157" s="99" t="s">
        <v>3772</v>
      </c>
      <c r="B157" s="38">
        <v>-5000</v>
      </c>
      <c r="C157" s="73" t="s">
        <v>502</v>
      </c>
      <c r="D157" s="99">
        <v>5</v>
      </c>
      <c r="E157" s="99">
        <f t="shared" si="7"/>
        <v>200</v>
      </c>
      <c r="F157" s="99">
        <f t="shared" si="5"/>
        <v>0</v>
      </c>
      <c r="G157" s="99">
        <f t="shared" si="4"/>
        <v>-1000000</v>
      </c>
    </row>
    <row r="158" spans="1:10">
      <c r="A158" s="99" t="s">
        <v>3780</v>
      </c>
      <c r="B158" s="38">
        <v>3000000</v>
      </c>
      <c r="C158" s="73" t="s">
        <v>3781</v>
      </c>
      <c r="D158" s="99">
        <v>1</v>
      </c>
      <c r="E158" s="99">
        <f t="shared" si="7"/>
        <v>195</v>
      </c>
      <c r="F158" s="99">
        <f t="shared" si="5"/>
        <v>1</v>
      </c>
      <c r="G158" s="99">
        <f t="shared" si="4"/>
        <v>582000000</v>
      </c>
    </row>
    <row r="159" spans="1:10">
      <c r="A159" s="99" t="s">
        <v>3787</v>
      </c>
      <c r="B159" s="38">
        <v>1000000</v>
      </c>
      <c r="C159" s="73" t="s">
        <v>3663</v>
      </c>
      <c r="D159" s="99">
        <v>1</v>
      </c>
      <c r="E159" s="99">
        <f t="shared" si="7"/>
        <v>194</v>
      </c>
      <c r="F159" s="99">
        <f t="shared" si="5"/>
        <v>1</v>
      </c>
      <c r="G159" s="99">
        <f t="shared" si="4"/>
        <v>193000000</v>
      </c>
    </row>
    <row r="160" spans="1:10">
      <c r="A160" s="99" t="s">
        <v>3786</v>
      </c>
      <c r="B160" s="38">
        <v>-4500000</v>
      </c>
      <c r="C160" s="73" t="s">
        <v>3788</v>
      </c>
      <c r="D160" s="99">
        <v>0</v>
      </c>
      <c r="E160" s="99">
        <f t="shared" si="7"/>
        <v>193</v>
      </c>
      <c r="F160" s="99">
        <f t="shared" si="5"/>
        <v>0</v>
      </c>
      <c r="G160" s="99">
        <f t="shared" si="4"/>
        <v>-868500000</v>
      </c>
    </row>
    <row r="161" spans="1:7">
      <c r="A161" s="99" t="s">
        <v>3786</v>
      </c>
      <c r="B161" s="38">
        <v>3000000</v>
      </c>
      <c r="C161" s="73" t="s">
        <v>3789</v>
      </c>
      <c r="D161" s="99">
        <v>0</v>
      </c>
      <c r="E161" s="99">
        <f t="shared" si="7"/>
        <v>193</v>
      </c>
      <c r="F161" s="99">
        <f t="shared" si="5"/>
        <v>1</v>
      </c>
      <c r="G161" s="99">
        <f t="shared" si="4"/>
        <v>576000000</v>
      </c>
    </row>
    <row r="162" spans="1:7">
      <c r="A162" s="99" t="s">
        <v>3786</v>
      </c>
      <c r="B162" s="38">
        <v>-3000000</v>
      </c>
      <c r="C162" s="73" t="s">
        <v>3788</v>
      </c>
      <c r="D162" s="99">
        <v>1</v>
      </c>
      <c r="E162" s="99">
        <f t="shared" si="7"/>
        <v>193</v>
      </c>
      <c r="F162" s="99">
        <f t="shared" si="5"/>
        <v>0</v>
      </c>
      <c r="G162" s="99">
        <f t="shared" si="4"/>
        <v>-579000000</v>
      </c>
    </row>
    <row r="163" spans="1:7">
      <c r="A163" s="99" t="s">
        <v>3804</v>
      </c>
      <c r="B163" s="38">
        <v>93165</v>
      </c>
      <c r="C163" s="73" t="s">
        <v>585</v>
      </c>
      <c r="D163" s="99">
        <v>6</v>
      </c>
      <c r="E163" s="99">
        <f t="shared" si="7"/>
        <v>192</v>
      </c>
      <c r="F163" s="99">
        <f t="shared" si="5"/>
        <v>1</v>
      </c>
      <c r="G163" s="99">
        <f t="shared" si="4"/>
        <v>17794515</v>
      </c>
    </row>
    <row r="164" spans="1:7">
      <c r="A164" s="37" t="s">
        <v>3801</v>
      </c>
      <c r="B164" s="38">
        <v>1160000</v>
      </c>
      <c r="C164" s="73" t="s">
        <v>3808</v>
      </c>
      <c r="D164" s="99">
        <v>1</v>
      </c>
      <c r="E164" s="99">
        <f t="shared" si="7"/>
        <v>186</v>
      </c>
      <c r="F164" s="99">
        <f t="shared" si="5"/>
        <v>1</v>
      </c>
      <c r="G164" s="99">
        <f t="shared" si="4"/>
        <v>214600000</v>
      </c>
    </row>
    <row r="165" spans="1:7">
      <c r="A165" s="59" t="s">
        <v>3805</v>
      </c>
      <c r="B165" s="38">
        <v>-526350</v>
      </c>
      <c r="C165" s="73" t="s">
        <v>3806</v>
      </c>
      <c r="D165" s="99">
        <v>3</v>
      </c>
      <c r="E165" s="99">
        <f t="shared" si="7"/>
        <v>185</v>
      </c>
      <c r="F165" s="99">
        <f t="shared" si="5"/>
        <v>0</v>
      </c>
      <c r="G165" s="99">
        <f t="shared" si="4"/>
        <v>-97374750</v>
      </c>
    </row>
    <row r="166" spans="1:7">
      <c r="A166" s="59">
        <v>35707</v>
      </c>
      <c r="B166" s="38">
        <v>-200000</v>
      </c>
      <c r="C166" s="73" t="s">
        <v>3879</v>
      </c>
      <c r="D166" s="99">
        <v>2</v>
      </c>
      <c r="E166" s="99">
        <f t="shared" si="7"/>
        <v>182</v>
      </c>
      <c r="F166" s="99">
        <f t="shared" si="5"/>
        <v>0</v>
      </c>
      <c r="G166" s="99">
        <f t="shared" si="4"/>
        <v>-36400000</v>
      </c>
    </row>
    <row r="167" spans="1:7">
      <c r="A167" s="99" t="s">
        <v>3883</v>
      </c>
      <c r="B167" s="38">
        <v>785000</v>
      </c>
      <c r="C167" s="73" t="s">
        <v>3886</v>
      </c>
      <c r="D167" s="99">
        <v>0</v>
      </c>
      <c r="E167" s="99">
        <f t="shared" si="7"/>
        <v>180</v>
      </c>
      <c r="F167" s="99">
        <f t="shared" si="5"/>
        <v>1</v>
      </c>
      <c r="G167" s="99">
        <f t="shared" si="4"/>
        <v>140515000</v>
      </c>
    </row>
    <row r="168" spans="1:7">
      <c r="A168" s="99" t="s">
        <v>3883</v>
      </c>
      <c r="B168" s="38">
        <v>-200000</v>
      </c>
      <c r="C168" s="73" t="s">
        <v>158</v>
      </c>
      <c r="D168" s="99">
        <v>1</v>
      </c>
      <c r="E168" s="99">
        <f t="shared" si="7"/>
        <v>180</v>
      </c>
      <c r="F168" s="99">
        <f t="shared" si="5"/>
        <v>0</v>
      </c>
      <c r="G168" s="99">
        <f t="shared" si="4"/>
        <v>-36000000</v>
      </c>
    </row>
    <row r="169" spans="1:7">
      <c r="A169" s="99" t="s">
        <v>3887</v>
      </c>
      <c r="B169" s="38">
        <v>-450000</v>
      </c>
      <c r="C169" s="73" t="s">
        <v>1109</v>
      </c>
      <c r="D169" s="99">
        <v>0</v>
      </c>
      <c r="E169" s="99">
        <f t="shared" si="7"/>
        <v>179</v>
      </c>
      <c r="F169" s="99">
        <f t="shared" si="5"/>
        <v>0</v>
      </c>
      <c r="G169" s="99">
        <f t="shared" si="4"/>
        <v>-80550000</v>
      </c>
    </row>
    <row r="170" spans="1:7">
      <c r="A170" s="99" t="s">
        <v>3887</v>
      </c>
      <c r="B170" s="38">
        <v>3000000</v>
      </c>
      <c r="C170" s="73" t="s">
        <v>3891</v>
      </c>
      <c r="D170" s="99">
        <v>0</v>
      </c>
      <c r="E170" s="99">
        <f t="shared" ref="E170:E180" si="8">D170+E171</f>
        <v>179</v>
      </c>
      <c r="F170" s="99">
        <f t="shared" si="5"/>
        <v>1</v>
      </c>
      <c r="G170" s="99">
        <f t="shared" si="4"/>
        <v>534000000</v>
      </c>
    </row>
    <row r="171" spans="1:7">
      <c r="A171" s="99" t="s">
        <v>3887</v>
      </c>
      <c r="B171" s="38">
        <v>-35000</v>
      </c>
      <c r="C171" s="73" t="s">
        <v>3894</v>
      </c>
      <c r="D171" s="99">
        <v>1</v>
      </c>
      <c r="E171" s="99">
        <f t="shared" si="8"/>
        <v>179</v>
      </c>
      <c r="F171" s="99">
        <f t="shared" si="5"/>
        <v>0</v>
      </c>
      <c r="G171" s="99">
        <f t="shared" si="4"/>
        <v>-6265000</v>
      </c>
    </row>
    <row r="172" spans="1:7">
      <c r="A172" s="99" t="s">
        <v>3895</v>
      </c>
      <c r="B172" s="38">
        <v>2500000</v>
      </c>
      <c r="C172" s="73" t="s">
        <v>3891</v>
      </c>
      <c r="D172" s="99">
        <v>1</v>
      </c>
      <c r="E172" s="99">
        <f t="shared" si="8"/>
        <v>178</v>
      </c>
      <c r="F172" s="99">
        <f t="shared" si="5"/>
        <v>1</v>
      </c>
      <c r="G172" s="99">
        <f t="shared" si="4"/>
        <v>442500000</v>
      </c>
    </row>
    <row r="173" spans="1:7">
      <c r="A173" s="99" t="s">
        <v>3899</v>
      </c>
      <c r="B173" s="38">
        <v>-130640</v>
      </c>
      <c r="C173" s="73" t="s">
        <v>3900</v>
      </c>
      <c r="D173" s="99">
        <v>5</v>
      </c>
      <c r="E173" s="99">
        <f t="shared" si="8"/>
        <v>177</v>
      </c>
      <c r="F173" s="99">
        <f t="shared" si="5"/>
        <v>0</v>
      </c>
      <c r="G173" s="99">
        <f t="shared" si="4"/>
        <v>-23123280</v>
      </c>
    </row>
    <row r="174" spans="1:7">
      <c r="A174" s="99" t="s">
        <v>3912</v>
      </c>
      <c r="B174" s="38">
        <v>-4800000</v>
      </c>
      <c r="C174" s="73" t="s">
        <v>3913</v>
      </c>
      <c r="D174" s="99">
        <v>0</v>
      </c>
      <c r="E174" s="99">
        <f t="shared" si="8"/>
        <v>172</v>
      </c>
      <c r="F174" s="99">
        <f t="shared" si="5"/>
        <v>0</v>
      </c>
      <c r="G174" s="99">
        <f t="shared" si="4"/>
        <v>-825600000</v>
      </c>
    </row>
    <row r="175" spans="1:7">
      <c r="A175" s="99" t="s">
        <v>3912</v>
      </c>
      <c r="B175" s="38">
        <v>-320000</v>
      </c>
      <c r="C175" s="73" t="s">
        <v>3914</v>
      </c>
      <c r="D175" s="99">
        <v>0</v>
      </c>
      <c r="E175" s="99">
        <f t="shared" si="8"/>
        <v>172</v>
      </c>
      <c r="F175" s="99">
        <f t="shared" si="5"/>
        <v>0</v>
      </c>
      <c r="G175" s="99">
        <f t="shared" si="4"/>
        <v>-55040000</v>
      </c>
    </row>
    <row r="176" spans="1:7">
      <c r="A176" s="99" t="s">
        <v>3912</v>
      </c>
      <c r="B176" s="38">
        <v>-493437</v>
      </c>
      <c r="C176" s="73" t="s">
        <v>608</v>
      </c>
      <c r="D176" s="99">
        <v>10</v>
      </c>
      <c r="E176" s="99">
        <f t="shared" si="8"/>
        <v>172</v>
      </c>
      <c r="F176" s="99">
        <f t="shared" si="5"/>
        <v>0</v>
      </c>
      <c r="G176" s="99">
        <f t="shared" si="4"/>
        <v>-84871164</v>
      </c>
    </row>
    <row r="177" spans="1:7">
      <c r="A177" s="99" t="s">
        <v>3949</v>
      </c>
      <c r="B177" s="38">
        <v>-80000</v>
      </c>
      <c r="C177" s="73" t="s">
        <v>759</v>
      </c>
      <c r="D177" s="99">
        <v>0</v>
      </c>
      <c r="E177" s="99">
        <f t="shared" si="8"/>
        <v>162</v>
      </c>
      <c r="F177" s="99">
        <f t="shared" si="5"/>
        <v>0</v>
      </c>
      <c r="G177" s="99">
        <f t="shared" si="4"/>
        <v>-12960000</v>
      </c>
    </row>
    <row r="178" spans="1:7">
      <c r="A178" s="99" t="s">
        <v>3949</v>
      </c>
      <c r="B178" s="38">
        <v>-100000</v>
      </c>
      <c r="C178" s="73" t="s">
        <v>3950</v>
      </c>
      <c r="D178" s="99">
        <v>1</v>
      </c>
      <c r="E178" s="99">
        <f t="shared" si="8"/>
        <v>162</v>
      </c>
      <c r="F178" s="99">
        <f t="shared" si="5"/>
        <v>0</v>
      </c>
      <c r="G178" s="99">
        <f t="shared" si="4"/>
        <v>-16200000</v>
      </c>
    </row>
    <row r="179" spans="1:7">
      <c r="A179" s="99" t="s">
        <v>3954</v>
      </c>
      <c r="B179" s="38">
        <v>14371</v>
      </c>
      <c r="C179" s="73" t="s">
        <v>669</v>
      </c>
      <c r="D179" s="99">
        <v>2</v>
      </c>
      <c r="E179" s="99">
        <f t="shared" si="8"/>
        <v>161</v>
      </c>
      <c r="F179" s="99">
        <f t="shared" si="5"/>
        <v>1</v>
      </c>
      <c r="G179" s="99">
        <f t="shared" si="4"/>
        <v>2299360</v>
      </c>
    </row>
    <row r="180" spans="1:7">
      <c r="A180" s="99" t="s">
        <v>3957</v>
      </c>
      <c r="B180" s="38">
        <v>-39030</v>
      </c>
      <c r="C180" s="73" t="s">
        <v>3958</v>
      </c>
      <c r="D180" s="99">
        <v>2</v>
      </c>
      <c r="E180" s="99">
        <f t="shared" si="8"/>
        <v>159</v>
      </c>
      <c r="F180" s="99">
        <f t="shared" si="5"/>
        <v>0</v>
      </c>
      <c r="G180" s="99">
        <f t="shared" si="4"/>
        <v>-6205770</v>
      </c>
    </row>
    <row r="181" spans="1:7">
      <c r="A181" s="99" t="s">
        <v>3963</v>
      </c>
      <c r="B181" s="38">
        <v>-32000</v>
      </c>
      <c r="C181" s="73" t="s">
        <v>3964</v>
      </c>
      <c r="D181" s="99">
        <v>2</v>
      </c>
      <c r="E181" s="99">
        <f t="shared" ref="E181:E195" si="9">D181+E182</f>
        <v>157</v>
      </c>
      <c r="F181" s="99">
        <f t="shared" si="5"/>
        <v>0</v>
      </c>
      <c r="G181" s="99">
        <f t="shared" si="4"/>
        <v>-5024000</v>
      </c>
    </row>
    <row r="182" spans="1:7">
      <c r="A182" s="99" t="s">
        <v>3967</v>
      </c>
      <c r="B182" s="38">
        <v>-100000</v>
      </c>
      <c r="C182" s="73" t="s">
        <v>158</v>
      </c>
      <c r="D182" s="99">
        <v>1</v>
      </c>
      <c r="E182" s="99">
        <f t="shared" si="9"/>
        <v>155</v>
      </c>
      <c r="F182" s="99">
        <f t="shared" si="5"/>
        <v>0</v>
      </c>
      <c r="G182" s="99">
        <f t="shared" si="4"/>
        <v>-15500000</v>
      </c>
    </row>
    <row r="183" spans="1:7">
      <c r="A183" s="99" t="s">
        <v>3969</v>
      </c>
      <c r="B183" s="38">
        <v>-20000</v>
      </c>
      <c r="C183" s="73" t="s">
        <v>3970</v>
      </c>
      <c r="D183" s="99">
        <v>1</v>
      </c>
      <c r="E183" s="99">
        <f t="shared" si="9"/>
        <v>154</v>
      </c>
      <c r="F183" s="99">
        <f t="shared" si="5"/>
        <v>0</v>
      </c>
      <c r="G183" s="99">
        <f t="shared" si="4"/>
        <v>-3080000</v>
      </c>
    </row>
    <row r="184" spans="1:7">
      <c r="A184" s="99" t="s">
        <v>990</v>
      </c>
      <c r="B184" s="38">
        <v>-8185</v>
      </c>
      <c r="C184" s="73" t="s">
        <v>3973</v>
      </c>
      <c r="D184" s="99">
        <v>2</v>
      </c>
      <c r="E184" s="99">
        <f t="shared" si="9"/>
        <v>153</v>
      </c>
      <c r="F184" s="99">
        <f t="shared" si="5"/>
        <v>0</v>
      </c>
      <c r="G184" s="99">
        <f t="shared" si="4"/>
        <v>-1252305</v>
      </c>
    </row>
    <row r="185" spans="1:7">
      <c r="A185" s="99" t="s">
        <v>3977</v>
      </c>
      <c r="B185" s="38">
        <v>-60100</v>
      </c>
      <c r="C185" s="73" t="s">
        <v>3978</v>
      </c>
      <c r="D185" s="99">
        <v>0</v>
      </c>
      <c r="E185" s="99">
        <f t="shared" si="9"/>
        <v>151</v>
      </c>
      <c r="F185" s="99">
        <f t="shared" si="5"/>
        <v>0</v>
      </c>
      <c r="G185" s="99">
        <f t="shared" si="4"/>
        <v>-9075100</v>
      </c>
    </row>
    <row r="186" spans="1:7">
      <c r="A186" s="99" t="s">
        <v>3977</v>
      </c>
      <c r="B186" s="38">
        <v>-32300</v>
      </c>
      <c r="C186" s="73" t="s">
        <v>655</v>
      </c>
      <c r="D186" s="99">
        <v>4</v>
      </c>
      <c r="E186" s="99">
        <f t="shared" si="9"/>
        <v>151</v>
      </c>
      <c r="F186" s="99">
        <f t="shared" si="5"/>
        <v>0</v>
      </c>
      <c r="G186" s="99">
        <f t="shared" si="4"/>
        <v>-4877300</v>
      </c>
    </row>
    <row r="187" spans="1:7">
      <c r="A187" s="99" t="s">
        <v>3993</v>
      </c>
      <c r="B187" s="38">
        <v>-32725</v>
      </c>
      <c r="C187" s="73" t="s">
        <v>655</v>
      </c>
      <c r="D187" s="99">
        <v>5</v>
      </c>
      <c r="E187" s="99">
        <f t="shared" si="9"/>
        <v>147</v>
      </c>
      <c r="F187" s="99">
        <f t="shared" si="5"/>
        <v>0</v>
      </c>
      <c r="G187" s="99">
        <f t="shared" si="4"/>
        <v>-4810575</v>
      </c>
    </row>
    <row r="188" spans="1:7">
      <c r="A188" s="99" t="s">
        <v>4002</v>
      </c>
      <c r="B188" s="38">
        <v>-16000</v>
      </c>
      <c r="C188" s="73" t="s">
        <v>4003</v>
      </c>
      <c r="D188" s="99">
        <v>1</v>
      </c>
      <c r="E188" s="99">
        <f t="shared" si="9"/>
        <v>142</v>
      </c>
      <c r="F188" s="99">
        <f t="shared" si="5"/>
        <v>0</v>
      </c>
      <c r="G188" s="99">
        <f t="shared" si="4"/>
        <v>-2272000</v>
      </c>
    </row>
    <row r="189" spans="1:7">
      <c r="A189" s="99" t="s">
        <v>4005</v>
      </c>
      <c r="B189" s="38">
        <v>-16932</v>
      </c>
      <c r="C189" s="73" t="s">
        <v>655</v>
      </c>
      <c r="D189" s="99">
        <v>3</v>
      </c>
      <c r="E189" s="99">
        <f t="shared" si="9"/>
        <v>141</v>
      </c>
      <c r="F189" s="99">
        <f t="shared" si="5"/>
        <v>0</v>
      </c>
      <c r="G189" s="99">
        <f t="shared" si="4"/>
        <v>-2387412</v>
      </c>
    </row>
    <row r="190" spans="1:7">
      <c r="A190" s="99" t="s">
        <v>4011</v>
      </c>
      <c r="B190" s="38">
        <v>-10350</v>
      </c>
      <c r="C190" s="73" t="s">
        <v>4012</v>
      </c>
      <c r="D190" s="99">
        <v>53</v>
      </c>
      <c r="E190" s="99">
        <f t="shared" si="9"/>
        <v>138</v>
      </c>
      <c r="F190" s="99">
        <f t="shared" si="5"/>
        <v>0</v>
      </c>
      <c r="G190" s="99">
        <f t="shared" si="4"/>
        <v>-1428300</v>
      </c>
    </row>
    <row r="191" spans="1:7">
      <c r="A191" s="99" t="s">
        <v>4247</v>
      </c>
      <c r="B191" s="38">
        <v>-5000</v>
      </c>
      <c r="C191" s="73" t="s">
        <v>4248</v>
      </c>
      <c r="D191" s="99">
        <v>84</v>
      </c>
      <c r="E191" s="99">
        <f t="shared" si="9"/>
        <v>85</v>
      </c>
      <c r="F191" s="99">
        <f t="shared" si="5"/>
        <v>0</v>
      </c>
      <c r="G191" s="99">
        <f t="shared" si="4"/>
        <v>-425000</v>
      </c>
    </row>
    <row r="192" spans="1:7">
      <c r="A192" s="99" t="s">
        <v>4581</v>
      </c>
      <c r="B192" s="38">
        <v>100000</v>
      </c>
      <c r="C192" s="73" t="s">
        <v>3891</v>
      </c>
      <c r="D192" s="99">
        <v>1</v>
      </c>
      <c r="E192" s="99">
        <f t="shared" si="9"/>
        <v>1</v>
      </c>
      <c r="F192" s="99">
        <f t="shared" si="5"/>
        <v>1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113305</v>
      </c>
      <c r="C196" s="11"/>
      <c r="D196" s="11"/>
      <c r="E196" s="11"/>
      <c r="F196" s="11"/>
      <c r="G196" s="29">
        <f>SUM(G105:G195)</f>
        <v>1726359837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5871972.2346938774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56"/>
  <sheetViews>
    <sheetView topLeftCell="N205" zoomScaleNormal="100" workbookViewId="0">
      <selection activeCell="O43" sqref="O43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40.7109375" customWidth="1"/>
    <col min="11" max="11" width="34.85546875" bestFit="1" customWidth="1"/>
    <col min="12" max="12" width="22.1406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6.140625" bestFit="1" customWidth="1"/>
    <col min="19" max="19" width="22.5703125" bestFit="1" customWidth="1"/>
    <col min="20" max="20" width="44.85546875" bestFit="1" customWidth="1"/>
    <col min="21" max="21" width="16.140625" style="96" bestFit="1" customWidth="1"/>
    <col min="22" max="22" width="17.5703125" customWidth="1"/>
    <col min="23" max="23" width="16.140625" style="96" customWidth="1"/>
    <col min="24" max="24" width="19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3.8554687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8" customWidth="1"/>
    <col min="37" max="37" width="19.140625" bestFit="1" customWidth="1"/>
    <col min="38" max="38" width="16.85546875" bestFit="1" customWidth="1"/>
    <col min="39" max="39" width="18.570312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10.7109375" bestFit="1" customWidth="1"/>
    <col min="46" max="46" width="36.42578125" style="96" bestFit="1" customWidth="1"/>
    <col min="47" max="47" width="38.42578125" style="96" bestFit="1" customWidth="1"/>
    <col min="48" max="48" width="1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4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 t="shared" ref="E3:E14" si="1"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1118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14" si="2">C3*$K$2</f>
        <v>3030000</v>
      </c>
      <c r="D4" s="3">
        <f t="shared" ref="D4:D14" si="3">D3*$K$2</f>
        <v>2525000</v>
      </c>
      <c r="E4" s="3">
        <f t="shared" si="1"/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2"/>
        <v>3060300</v>
      </c>
      <c r="D5" s="3">
        <f t="shared" si="3"/>
        <v>2550250</v>
      </c>
      <c r="E5" s="3">
        <f t="shared" si="1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217" t="s">
        <v>1077</v>
      </c>
      <c r="AR5" s="217" t="s">
        <v>267</v>
      </c>
      <c r="AS5" s="217" t="s">
        <v>180</v>
      </c>
      <c r="AT5" s="217"/>
    </row>
    <row r="6" spans="1:46">
      <c r="A6" s="23">
        <v>96</v>
      </c>
      <c r="B6" s="11">
        <v>4</v>
      </c>
      <c r="C6" s="49">
        <f t="shared" si="2"/>
        <v>3090903</v>
      </c>
      <c r="D6" s="3">
        <f t="shared" si="3"/>
        <v>2575752.5</v>
      </c>
      <c r="E6" s="3">
        <f t="shared" si="1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217">
        <v>1</v>
      </c>
      <c r="AR6" s="169">
        <v>5000000</v>
      </c>
      <c r="AS6" s="217" t="s">
        <v>4150</v>
      </c>
      <c r="AT6" s="217" t="s">
        <v>4181</v>
      </c>
    </row>
    <row r="7" spans="1:46">
      <c r="A7" s="23">
        <v>96</v>
      </c>
      <c r="B7" s="11">
        <v>5</v>
      </c>
      <c r="C7" s="49">
        <f t="shared" si="2"/>
        <v>3121812.03</v>
      </c>
      <c r="D7" s="3">
        <f t="shared" si="3"/>
        <v>2601510.0249999999</v>
      </c>
      <c r="E7" s="3">
        <f t="shared" si="1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217">
        <v>2</v>
      </c>
      <c r="AR7" s="169">
        <v>13000000</v>
      </c>
      <c r="AS7" s="217" t="s">
        <v>4157</v>
      </c>
      <c r="AT7" s="217" t="s">
        <v>4182</v>
      </c>
    </row>
    <row r="8" spans="1:46">
      <c r="A8" s="23">
        <v>96</v>
      </c>
      <c r="B8" s="11">
        <v>6</v>
      </c>
      <c r="C8" s="49">
        <f t="shared" si="2"/>
        <v>3153030.1502999999</v>
      </c>
      <c r="D8" s="3">
        <f t="shared" si="3"/>
        <v>2627525.12525</v>
      </c>
      <c r="E8" s="3">
        <f t="shared" si="1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217">
        <v>3</v>
      </c>
      <c r="AR8" s="169">
        <v>-168093</v>
      </c>
      <c r="AS8" s="217" t="s">
        <v>4172</v>
      </c>
      <c r="AT8" s="217" t="s">
        <v>4183</v>
      </c>
    </row>
    <row r="9" spans="1:46">
      <c r="A9" s="23">
        <v>96</v>
      </c>
      <c r="B9" s="11">
        <v>7</v>
      </c>
      <c r="C9" s="50">
        <f t="shared" si="2"/>
        <v>3184560.4518029997</v>
      </c>
      <c r="D9" s="3">
        <f t="shared" si="3"/>
        <v>2653800.3765024999</v>
      </c>
      <c r="E9" s="3">
        <f t="shared" si="1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217">
        <v>4</v>
      </c>
      <c r="AR9" s="169">
        <v>-2000000</v>
      </c>
      <c r="AS9" s="217" t="s">
        <v>4342</v>
      </c>
      <c r="AT9" s="217" t="s">
        <v>4343</v>
      </c>
    </row>
    <row r="10" spans="1:46" ht="45">
      <c r="A10" s="23">
        <v>96</v>
      </c>
      <c r="B10" s="11">
        <v>8</v>
      </c>
      <c r="C10" s="50">
        <f t="shared" si="2"/>
        <v>3216406.0563210296</v>
      </c>
      <c r="D10" s="3">
        <f t="shared" si="3"/>
        <v>2680338.3802675251</v>
      </c>
      <c r="E10" s="3">
        <f t="shared" si="1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217">
        <v>5</v>
      </c>
      <c r="AR10" s="169">
        <v>-3000000</v>
      </c>
      <c r="AS10" s="217" t="s">
        <v>4885</v>
      </c>
      <c r="AT10" s="73" t="s">
        <v>4889</v>
      </c>
    </row>
    <row r="11" spans="1:46" ht="59.25" customHeight="1">
      <c r="A11" s="23">
        <v>96</v>
      </c>
      <c r="B11" s="11">
        <v>9</v>
      </c>
      <c r="C11" s="50">
        <f t="shared" si="2"/>
        <v>3248570.1168842399</v>
      </c>
      <c r="D11" s="3">
        <f t="shared" si="3"/>
        <v>2707141.7640702003</v>
      </c>
      <c r="E11" s="3">
        <f t="shared" si="1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217">
        <v>6</v>
      </c>
      <c r="AR11" s="169">
        <v>-1663925</v>
      </c>
      <c r="AS11" s="217" t="s">
        <v>4914</v>
      </c>
      <c r="AT11" s="73" t="s">
        <v>4923</v>
      </c>
    </row>
    <row r="12" spans="1:46">
      <c r="A12" s="23">
        <v>96</v>
      </c>
      <c r="B12" s="11">
        <v>10</v>
      </c>
      <c r="C12" s="3">
        <f t="shared" si="2"/>
        <v>3281055.8180530826</v>
      </c>
      <c r="D12" s="3">
        <f t="shared" si="3"/>
        <v>2734213.1817109021</v>
      </c>
      <c r="E12" s="3">
        <f t="shared" si="1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217"/>
      <c r="AR12" s="169" t="s">
        <v>25</v>
      </c>
      <c r="AS12" s="217"/>
      <c r="AT12" s="73"/>
    </row>
    <row r="13" spans="1:46">
      <c r="A13" s="23">
        <v>96</v>
      </c>
      <c r="B13" s="11">
        <v>11</v>
      </c>
      <c r="C13" s="3">
        <f t="shared" si="2"/>
        <v>3313866.3762336136</v>
      </c>
      <c r="D13" s="3">
        <f t="shared" si="3"/>
        <v>2761555.3135280111</v>
      </c>
      <c r="E13" s="3">
        <f t="shared" si="1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217"/>
      <c r="AR13" s="169"/>
      <c r="AS13" s="217"/>
      <c r="AT13" s="73"/>
    </row>
    <row r="14" spans="1:46">
      <c r="A14" s="23">
        <v>96</v>
      </c>
      <c r="B14" s="11">
        <v>12</v>
      </c>
      <c r="C14" s="3">
        <f t="shared" si="2"/>
        <v>3347005.0399959497</v>
      </c>
      <c r="D14" s="3">
        <f t="shared" si="3"/>
        <v>2789170.8666632911</v>
      </c>
      <c r="E14" s="46">
        <f t="shared" si="1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 t="s">
        <v>25</v>
      </c>
      <c r="P14" s="96"/>
      <c r="Q14" s="168" t="s">
        <v>4364</v>
      </c>
      <c r="V14" s="115"/>
      <c r="W14" s="115"/>
      <c r="X14" s="116"/>
      <c r="Y14" s="115"/>
      <c r="Z14" s="115"/>
      <c r="AQ14" s="217"/>
      <c r="AR14" s="169"/>
      <c r="AS14" s="217"/>
      <c r="AT14" s="217"/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1155</v>
      </c>
      <c r="K15" s="168" t="s">
        <v>451</v>
      </c>
      <c r="L15" s="168" t="s">
        <v>452</v>
      </c>
      <c r="M15" s="168"/>
      <c r="N15" s="168" t="s">
        <v>751</v>
      </c>
      <c r="P15" s="96"/>
      <c r="Q15" s="168">
        <v>28</v>
      </c>
      <c r="V15" s="115"/>
      <c r="W15" s="115"/>
      <c r="X15" s="116"/>
      <c r="Y15" s="115"/>
      <c r="Z15" s="115"/>
      <c r="AQ15" s="217"/>
      <c r="AR15" s="169"/>
      <c r="AS15" s="217"/>
      <c r="AT15" s="217"/>
    </row>
    <row r="16" spans="1:46" ht="18.75">
      <c r="A16" s="60">
        <v>97</v>
      </c>
      <c r="B16" s="11">
        <v>14</v>
      </c>
      <c r="C16" s="44">
        <f t="shared" ref="C16:C62" si="4">C15*$K$2</f>
        <v>3686500</v>
      </c>
      <c r="D16" s="3">
        <f t="shared" ref="D16:D62" si="5">D15*$K$2</f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3674</v>
      </c>
      <c r="K16" s="19" t="s">
        <v>299</v>
      </c>
      <c r="L16" s="117">
        <f>'مسکن ایلیا'!B280</f>
        <v>56737</v>
      </c>
      <c r="M16" s="168" t="s">
        <v>752</v>
      </c>
      <c r="N16" s="113">
        <f>'مسکن مریم یاران'!B196</f>
        <v>113305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217"/>
      <c r="AR16" s="169">
        <f>SUM(AR6:AR14)</f>
        <v>11167982</v>
      </c>
      <c r="AS16" s="217"/>
      <c r="AT16" s="240" t="s">
        <v>4886</v>
      </c>
    </row>
    <row r="17" spans="1:54">
      <c r="A17" s="60">
        <v>97</v>
      </c>
      <c r="B17" s="11">
        <v>15</v>
      </c>
      <c r="C17" s="44">
        <f t="shared" si="4"/>
        <v>3723365</v>
      </c>
      <c r="D17" s="3">
        <f t="shared" si="5"/>
        <v>3024596.5</v>
      </c>
      <c r="E17" s="3">
        <f>E16*$L$2+C17-D17</f>
        <v>99777396.700000003</v>
      </c>
      <c r="F17" s="3">
        <v>90235000</v>
      </c>
      <c r="G17" s="29">
        <f t="shared" si="0"/>
        <v>9542396.700000003</v>
      </c>
      <c r="H17" s="11" t="s">
        <v>3793</v>
      </c>
      <c r="K17" s="168" t="s">
        <v>453</v>
      </c>
      <c r="L17" s="117">
        <f>'مسکن علی سید الشهدا'!B85</f>
        <v>64773</v>
      </c>
      <c r="M17" s="168" t="s">
        <v>657</v>
      </c>
      <c r="N17" s="113">
        <f>سارا!D371</f>
        <v>470675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Q17" s="217"/>
      <c r="AR17" s="217" t="s">
        <v>6</v>
      </c>
      <c r="AS17" s="217"/>
      <c r="AT17" s="217"/>
    </row>
    <row r="18" spans="1:54">
      <c r="A18" s="60">
        <v>97</v>
      </c>
      <c r="B18" s="11">
        <v>16</v>
      </c>
      <c r="C18" s="49">
        <f t="shared" si="4"/>
        <v>3760598.65</v>
      </c>
      <c r="D18" s="3">
        <f t="shared" si="5"/>
        <v>3054842.4649999999</v>
      </c>
      <c r="E18" s="3">
        <f>E17*$L$2+C18-D18</f>
        <v>102478700.81900001</v>
      </c>
      <c r="F18" s="3">
        <v>93000000</v>
      </c>
      <c r="G18" s="29">
        <f t="shared" si="0"/>
        <v>9478700.8190000057</v>
      </c>
      <c r="H18" s="11" t="s">
        <v>3955</v>
      </c>
      <c r="K18" s="168" t="s">
        <v>683</v>
      </c>
      <c r="L18" s="117">
        <v>1000000</v>
      </c>
      <c r="M18" s="168" t="s">
        <v>4078</v>
      </c>
      <c r="N18" s="113">
        <v>35695</v>
      </c>
      <c r="Q18" s="168" t="s">
        <v>4293</v>
      </c>
      <c r="R18" s="168" t="s">
        <v>25</v>
      </c>
      <c r="S18" s="168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4"/>
        <v>3798204.6365</v>
      </c>
      <c r="D19" s="3">
        <f t="shared" si="5"/>
        <v>3085390.8896499998</v>
      </c>
      <c r="E19" s="3">
        <f>E18*$L$2+C19-D19</f>
        <v>105241088.58223</v>
      </c>
      <c r="F19" s="3">
        <v>101300000</v>
      </c>
      <c r="G19" s="29">
        <f t="shared" si="0"/>
        <v>3941088.5822300017</v>
      </c>
      <c r="H19" s="36" t="s">
        <v>4137</v>
      </c>
      <c r="K19" s="168"/>
      <c r="L19" s="117"/>
      <c r="M19" s="168"/>
      <c r="N19" s="113"/>
      <c r="O19" s="96"/>
      <c r="P19" s="96"/>
      <c r="Q19" s="168" t="s">
        <v>267</v>
      </c>
      <c r="R19" s="168" t="s">
        <v>180</v>
      </c>
      <c r="S19" s="168" t="s">
        <v>183</v>
      </c>
      <c r="T19" s="168" t="s">
        <v>8</v>
      </c>
      <c r="U19" s="168" t="s">
        <v>4363</v>
      </c>
      <c r="V19" s="73" t="s">
        <v>4365</v>
      </c>
      <c r="W19" s="32">
        <v>2</v>
      </c>
      <c r="X19" s="32">
        <v>4</v>
      </c>
      <c r="Y19" s="116"/>
      <c r="Z19" s="115"/>
      <c r="AH19" s="99" t="s">
        <v>3641</v>
      </c>
      <c r="AI19" s="99" t="s">
        <v>180</v>
      </c>
      <c r="AJ19" s="99" t="s">
        <v>267</v>
      </c>
      <c r="AK19" s="69" t="s">
        <v>4058</v>
      </c>
      <c r="AL19" s="69" t="s">
        <v>4050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4"/>
        <v>3836186.6828649999</v>
      </c>
      <c r="D20" s="3">
        <f t="shared" si="5"/>
        <v>3116244.7985465</v>
      </c>
      <c r="E20" s="3">
        <f>E19*$L$2+C20-D20</f>
        <v>108065852.23819311</v>
      </c>
      <c r="F20" s="3">
        <v>95200000</v>
      </c>
      <c r="G20" s="29">
        <f t="shared" si="0"/>
        <v>12865852.23819311</v>
      </c>
      <c r="H20" s="36" t="s">
        <v>4138</v>
      </c>
      <c r="K20" s="168"/>
      <c r="L20" s="117"/>
      <c r="M20" s="168" t="s">
        <v>4458</v>
      </c>
      <c r="N20" s="113">
        <v>141914</v>
      </c>
      <c r="O20" s="99" t="s">
        <v>937</v>
      </c>
      <c r="P20" s="99" t="s">
        <v>3929</v>
      </c>
      <c r="Q20" s="169">
        <v>9268987</v>
      </c>
      <c r="R20" s="168" t="s">
        <v>4172</v>
      </c>
      <c r="S20" s="192">
        <f>S76</f>
        <v>171</v>
      </c>
      <c r="T20" s="168" t="s">
        <v>4309</v>
      </c>
      <c r="U20" s="168">
        <v>192.1</v>
      </c>
      <c r="V20" s="168">
        <f>U20*(1+$N$95+$Q$15*S20/36500)</f>
        <v>219.45082958904109</v>
      </c>
      <c r="W20" s="32">
        <f t="shared" ref="W20:W33" si="6">V20*(1+$W$19/100)</f>
        <v>223.83984618082192</v>
      </c>
      <c r="X20" s="32">
        <f t="shared" ref="X20:X33" si="7">V20*(1+$X$19/100)</f>
        <v>228.22886277260275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342</v>
      </c>
      <c r="AM20" s="113">
        <f>AJ20*AL20</f>
        <v>6156000000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4"/>
        <v>3874548.5496936501</v>
      </c>
      <c r="D21" s="117">
        <f t="shared" si="5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4207</v>
      </c>
      <c r="J21" s="25"/>
      <c r="K21" s="168" t="s">
        <v>4471</v>
      </c>
      <c r="L21" s="117">
        <f>-N39</f>
        <v>400470604.2089476</v>
      </c>
      <c r="M21" s="168" t="s">
        <v>4301</v>
      </c>
      <c r="N21" s="113">
        <f t="shared" ref="N21:N28" si="8">O21*P21</f>
        <v>15694481.6</v>
      </c>
      <c r="O21" s="99">
        <v>82429</v>
      </c>
      <c r="P21" s="186">
        <f>P62</f>
        <v>190.4</v>
      </c>
      <c r="Q21" s="169">
        <v>595156</v>
      </c>
      <c r="R21" s="168" t="s">
        <v>4393</v>
      </c>
      <c r="S21" s="193">
        <f>S20-52</f>
        <v>119</v>
      </c>
      <c r="T21" s="168" t="s">
        <v>4396</v>
      </c>
      <c r="U21" s="168">
        <v>5808.5</v>
      </c>
      <c r="V21" s="168">
        <f>U21*(1+$N$95+$Q$15*S21/36500)</f>
        <v>6403.7996383561649</v>
      </c>
      <c r="W21" s="32">
        <f t="shared" si="6"/>
        <v>6531.8756311232883</v>
      </c>
      <c r="X21" s="32">
        <f t="shared" si="7"/>
        <v>6659.9516238904116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9">AL22+AK21</f>
        <v>341</v>
      </c>
      <c r="AM21" s="113">
        <f t="shared" ref="AM21:AM120" si="10">AJ21*AL21</f>
        <v>852500000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4"/>
        <v>3913294.0351905865</v>
      </c>
      <c r="D22" s="3">
        <f t="shared" si="5"/>
        <v>3178881.3189972849</v>
      </c>
      <c r="E22" s="3">
        <f t="shared" ref="E22:E62" si="11">E21*$L$2+C22-D22</f>
        <v>267974412.71619329</v>
      </c>
      <c r="F22" s="3">
        <v>240000000</v>
      </c>
      <c r="G22" s="95">
        <f t="shared" si="0"/>
        <v>27974412.716193289</v>
      </c>
      <c r="H22" s="11"/>
      <c r="I22" s="96"/>
      <c r="J22" s="96"/>
      <c r="K22" s="168" t="s">
        <v>4474</v>
      </c>
      <c r="L22" s="117">
        <f>-اسفند97!D74</f>
        <v>-1987080</v>
      </c>
      <c r="M22" s="168" t="s">
        <v>4391</v>
      </c>
      <c r="N22" s="113">
        <f t="shared" si="8"/>
        <v>65161936</v>
      </c>
      <c r="O22" s="99">
        <v>19265</v>
      </c>
      <c r="P22" s="186">
        <f>P49</f>
        <v>3382.4</v>
      </c>
      <c r="Q22" s="169">
        <v>1484689</v>
      </c>
      <c r="R22" s="168" t="s">
        <v>4430</v>
      </c>
      <c r="S22" s="168">
        <f>S21-7</f>
        <v>112</v>
      </c>
      <c r="T22" s="19" t="s">
        <v>4433</v>
      </c>
      <c r="U22" s="168">
        <v>5474</v>
      </c>
      <c r="V22" s="168">
        <f>U22*(1+$N$95+$Q$15*S22/36500)</f>
        <v>6005.6228821917812</v>
      </c>
      <c r="W22" s="32">
        <f t="shared" si="6"/>
        <v>6125.7353398356172</v>
      </c>
      <c r="X22" s="32">
        <f t="shared" si="7"/>
        <v>6245.8477974794523</v>
      </c>
      <c r="Y22" s="115"/>
      <c r="Z22" s="115"/>
      <c r="AH22" s="99">
        <v>3</v>
      </c>
      <c r="AI22" s="113" t="s">
        <v>1119</v>
      </c>
      <c r="AJ22" s="113">
        <v>8000000</v>
      </c>
      <c r="AK22" s="99">
        <v>1</v>
      </c>
      <c r="AL22" s="99">
        <f t="shared" si="9"/>
        <v>340</v>
      </c>
      <c r="AM22" s="113">
        <f t="shared" si="10"/>
        <v>2720000000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4"/>
        <v>3952426.9755424922</v>
      </c>
      <c r="D23" s="3">
        <f t="shared" si="5"/>
        <v>3210670.1321872575</v>
      </c>
      <c r="E23" s="3">
        <f t="shared" si="11"/>
        <v>274075657.8138724</v>
      </c>
      <c r="F23" s="3">
        <v>242000000</v>
      </c>
      <c r="G23" s="29">
        <f t="shared" si="0"/>
        <v>32075657.813872397</v>
      </c>
      <c r="H23" s="11" t="s">
        <v>25</v>
      </c>
      <c r="I23" s="96"/>
      <c r="J23" s="96"/>
      <c r="K23" s="217"/>
      <c r="L23" s="117"/>
      <c r="M23" s="217" t="s">
        <v>4543</v>
      </c>
      <c r="N23" s="113"/>
      <c r="O23" s="99">
        <v>8808</v>
      </c>
      <c r="P23" s="186">
        <f>P51</f>
        <v>113.3</v>
      </c>
      <c r="Q23" s="169">
        <v>2197673</v>
      </c>
      <c r="R23" s="168" t="s">
        <v>4430</v>
      </c>
      <c r="S23" s="168">
        <f>S22</f>
        <v>112</v>
      </c>
      <c r="T23" s="19" t="s">
        <v>4434</v>
      </c>
      <c r="U23" s="168">
        <v>5349</v>
      </c>
      <c r="V23" s="168">
        <f>U23*(1+$N$95+$Q$15*S23/36500)</f>
        <v>5868.4831561643841</v>
      </c>
      <c r="W23" s="32">
        <f>V23*(1+$W$19/100)</f>
        <v>5985.852819287672</v>
      </c>
      <c r="X23" s="32">
        <f t="shared" si="7"/>
        <v>6103.2224824109599</v>
      </c>
      <c r="Y23" s="96"/>
      <c r="Z23" s="96"/>
      <c r="AH23" s="99">
        <v>4</v>
      </c>
      <c r="AI23" s="113" t="s">
        <v>4054</v>
      </c>
      <c r="AJ23" s="113">
        <v>-79552</v>
      </c>
      <c r="AK23" s="99">
        <v>1</v>
      </c>
      <c r="AL23" s="99">
        <f t="shared" si="9"/>
        <v>339</v>
      </c>
      <c r="AM23" s="113">
        <f t="shared" si="10"/>
        <v>-26968128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4"/>
        <v>3991951.2452979172</v>
      </c>
      <c r="D24" s="3">
        <f t="shared" si="5"/>
        <v>3242776.8335091299</v>
      </c>
      <c r="E24" s="3">
        <f t="shared" si="11"/>
        <v>280306345.38193864</v>
      </c>
      <c r="F24" s="3">
        <f>L75</f>
        <v>400036109.2089476</v>
      </c>
      <c r="G24" s="95">
        <f t="shared" si="0"/>
        <v>-119729763.82700896</v>
      </c>
      <c r="H24" s="11"/>
      <c r="I24" s="96"/>
      <c r="J24" s="96"/>
      <c r="K24" s="217"/>
      <c r="L24" s="117"/>
      <c r="M24" s="217" t="s">
        <v>4915</v>
      </c>
      <c r="N24" s="113">
        <f t="shared" si="8"/>
        <v>461538</v>
      </c>
      <c r="O24" s="99">
        <v>1998</v>
      </c>
      <c r="P24" s="186">
        <f>P52</f>
        <v>231</v>
      </c>
      <c r="Q24" s="169">
        <v>1353959</v>
      </c>
      <c r="R24" s="168" t="s">
        <v>4430</v>
      </c>
      <c r="S24" s="199">
        <f>S23</f>
        <v>112</v>
      </c>
      <c r="T24" s="19" t="s">
        <v>4476</v>
      </c>
      <c r="U24" s="168">
        <v>192.2</v>
      </c>
      <c r="V24" s="168">
        <f>U24*(1+$N$95+$Q$15*S24/36500)</f>
        <v>210.86604273972603</v>
      </c>
      <c r="W24" s="32">
        <f t="shared" si="6"/>
        <v>215.08336359452056</v>
      </c>
      <c r="X24" s="32">
        <f t="shared" si="7"/>
        <v>219.30068444931507</v>
      </c>
      <c r="Y24" s="96"/>
      <c r="Z24" s="96"/>
      <c r="AH24" s="99">
        <v>5</v>
      </c>
      <c r="AI24" s="113" t="s">
        <v>1131</v>
      </c>
      <c r="AJ24" s="113">
        <v>165500</v>
      </c>
      <c r="AK24" s="99">
        <v>12</v>
      </c>
      <c r="AL24" s="99">
        <f t="shared" si="9"/>
        <v>338</v>
      </c>
      <c r="AM24" s="113">
        <f t="shared" si="10"/>
        <v>55939000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4"/>
        <v>4031870.7577508963</v>
      </c>
      <c r="D25" s="3">
        <f t="shared" si="5"/>
        <v>3275204.6018442214</v>
      </c>
      <c r="E25" s="3">
        <f t="shared" si="11"/>
        <v>286669138.44548404</v>
      </c>
      <c r="F25" s="3"/>
      <c r="G25" s="11"/>
      <c r="H25" s="11"/>
      <c r="J25" s="25"/>
      <c r="K25" s="217"/>
      <c r="L25" s="117"/>
      <c r="M25" s="217" t="s">
        <v>4410</v>
      </c>
      <c r="N25" s="113">
        <f t="shared" si="8"/>
        <v>84732610.200000003</v>
      </c>
      <c r="O25" s="99">
        <v>144447</v>
      </c>
      <c r="P25" s="186">
        <f>P55</f>
        <v>586.6</v>
      </c>
      <c r="Q25" s="169">
        <v>1614398</v>
      </c>
      <c r="R25" s="168" t="s">
        <v>4438</v>
      </c>
      <c r="S25" s="168">
        <f>S24-3</f>
        <v>109</v>
      </c>
      <c r="T25" s="19" t="s">
        <v>4512</v>
      </c>
      <c r="U25" s="168">
        <v>184.6</v>
      </c>
      <c r="V25" s="168">
        <f>U25*(1+$N$95+$Q$15*S25/36500)</f>
        <v>202.10311452054796</v>
      </c>
      <c r="W25" s="32">
        <f t="shared" si="6"/>
        <v>206.14517681095893</v>
      </c>
      <c r="X25" s="32">
        <f t="shared" si="7"/>
        <v>210.1872391013699</v>
      </c>
      <c r="Y25" s="96"/>
      <c r="Z25" s="96" t="s">
        <v>25</v>
      </c>
      <c r="AH25" s="99">
        <v>6</v>
      </c>
      <c r="AI25" s="113" t="s">
        <v>1156</v>
      </c>
      <c r="AJ25" s="113">
        <v>-28830327</v>
      </c>
      <c r="AK25" s="99">
        <v>6</v>
      </c>
      <c r="AL25" s="99">
        <f t="shared" si="9"/>
        <v>326</v>
      </c>
      <c r="AM25" s="113">
        <f t="shared" si="10"/>
        <v>-9398686602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4"/>
        <v>4072189.4653284051</v>
      </c>
      <c r="D26" s="3">
        <f t="shared" si="5"/>
        <v>3307956.6478626635</v>
      </c>
      <c r="E26" s="46">
        <f t="shared" si="11"/>
        <v>293166754.03185946</v>
      </c>
      <c r="F26" s="3"/>
      <c r="G26" s="11"/>
      <c r="H26" s="11"/>
      <c r="J26" s="25"/>
      <c r="K26" s="217"/>
      <c r="L26" s="117"/>
      <c r="M26" s="217" t="s">
        <v>4542</v>
      </c>
      <c r="N26" s="113">
        <f t="shared" si="8"/>
        <v>84125945</v>
      </c>
      <c r="O26" s="99">
        <v>20162</v>
      </c>
      <c r="P26" s="186">
        <f>P56</f>
        <v>4172.5</v>
      </c>
      <c r="Q26" s="169">
        <v>133576</v>
      </c>
      <c r="R26" s="168" t="s">
        <v>4519</v>
      </c>
      <c r="S26" s="198">
        <f>S25-22</f>
        <v>87</v>
      </c>
      <c r="T26" s="168" t="s">
        <v>4520</v>
      </c>
      <c r="U26" s="168">
        <v>166.2</v>
      </c>
      <c r="V26" s="168">
        <f>U26*(1+$N$95+$Q$15*S26/36500)</f>
        <v>179.15358246575343</v>
      </c>
      <c r="W26" s="32">
        <f t="shared" si="6"/>
        <v>182.73665411506849</v>
      </c>
      <c r="X26" s="32">
        <f t="shared" si="7"/>
        <v>186.31972576438358</v>
      </c>
      <c r="Y26" s="96"/>
      <c r="Z26" s="96"/>
      <c r="AH26" s="99">
        <v>7</v>
      </c>
      <c r="AI26" s="113" t="s">
        <v>1181</v>
      </c>
      <c r="AJ26" s="113">
        <v>18500000</v>
      </c>
      <c r="AK26" s="99">
        <v>1</v>
      </c>
      <c r="AL26" s="99">
        <f t="shared" si="9"/>
        <v>320</v>
      </c>
      <c r="AM26" s="113">
        <f t="shared" si="10"/>
        <v>5920000000</v>
      </c>
      <c r="AN26" s="99"/>
      <c r="AP26" s="96"/>
      <c r="AQ26" s="96"/>
      <c r="AR26" s="96"/>
      <c r="AS26" s="9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4"/>
        <v>4112911.3599816891</v>
      </c>
      <c r="D27" s="3">
        <f t="shared" si="5"/>
        <v>3341036.2143412903</v>
      </c>
      <c r="E27" s="3">
        <f t="shared" si="11"/>
        <v>299801964.25813711</v>
      </c>
      <c r="F27" s="3"/>
      <c r="G27" s="11"/>
      <c r="H27" s="11"/>
      <c r="J27" s="25"/>
      <c r="K27" s="217"/>
      <c r="L27" s="117"/>
      <c r="M27" s="217" t="s">
        <v>4941</v>
      </c>
      <c r="N27" s="113">
        <f t="shared" si="8"/>
        <v>61830</v>
      </c>
      <c r="O27" s="99">
        <v>229</v>
      </c>
      <c r="P27" s="186">
        <f>P63</f>
        <v>270</v>
      </c>
      <c r="Q27" s="169">
        <v>220803</v>
      </c>
      <c r="R27" s="168" t="s">
        <v>4231</v>
      </c>
      <c r="S27" s="198">
        <f>S26-1</f>
        <v>86</v>
      </c>
      <c r="T27" s="168" t="s">
        <v>4526</v>
      </c>
      <c r="U27" s="168">
        <v>166</v>
      </c>
      <c r="V27" s="168">
        <f>U27*(1+$N$95+$Q$15*S27/36500)</f>
        <v>178.81065205479453</v>
      </c>
      <c r="W27" s="32">
        <f t="shared" si="6"/>
        <v>182.38686509589041</v>
      </c>
      <c r="X27" s="32">
        <f t="shared" si="7"/>
        <v>185.96307813698633</v>
      </c>
      <c r="Y27" s="96"/>
      <c r="Z27" s="96"/>
      <c r="AH27" s="99">
        <v>8</v>
      </c>
      <c r="AI27" s="113" t="s">
        <v>1190</v>
      </c>
      <c r="AJ27" s="113">
        <v>-18550000</v>
      </c>
      <c r="AK27" s="99">
        <v>1</v>
      </c>
      <c r="AL27" s="99">
        <f t="shared" si="9"/>
        <v>319</v>
      </c>
      <c r="AM27" s="113">
        <f t="shared" si="10"/>
        <v>-5917450000</v>
      </c>
      <c r="AN27" s="99"/>
      <c r="AP27" s="96"/>
      <c r="AQ27" s="96"/>
      <c r="AR27" s="96"/>
      <c r="AS27" s="96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4"/>
        <v>4154040.4735815059</v>
      </c>
      <c r="D28" s="3">
        <f t="shared" si="5"/>
        <v>3374446.5764847035</v>
      </c>
      <c r="E28" s="3">
        <f t="shared" si="11"/>
        <v>306577597.44039667</v>
      </c>
      <c r="F28" s="3"/>
      <c r="G28" s="11"/>
      <c r="H28" s="11"/>
      <c r="K28" s="168" t="s">
        <v>456</v>
      </c>
      <c r="L28" s="117">
        <v>500000</v>
      </c>
      <c r="M28" s="168" t="s">
        <v>4395</v>
      </c>
      <c r="N28" s="113">
        <f t="shared" si="8"/>
        <v>9922384</v>
      </c>
      <c r="O28" s="99">
        <v>1828</v>
      </c>
      <c r="P28" s="99">
        <f>P54</f>
        <v>5428</v>
      </c>
      <c r="Q28" s="169">
        <v>1023940</v>
      </c>
      <c r="R28" s="168" t="s">
        <v>4527</v>
      </c>
      <c r="S28" s="198">
        <f>S27-2</f>
        <v>84</v>
      </c>
      <c r="T28" s="168" t="s">
        <v>4533</v>
      </c>
      <c r="U28" s="168">
        <v>160.19999999999999</v>
      </c>
      <c r="V28" s="168">
        <f>U28*(1+$N$95+$Q$15*S28/36500)</f>
        <v>172.31726465753425</v>
      </c>
      <c r="W28" s="32">
        <f t="shared" si="6"/>
        <v>175.76360995068495</v>
      </c>
      <c r="X28" s="32">
        <f t="shared" si="7"/>
        <v>179.20995524383562</v>
      </c>
      <c r="Y28" s="96"/>
      <c r="Z28" s="96"/>
      <c r="AH28" s="99">
        <v>9</v>
      </c>
      <c r="AI28" s="113" t="s">
        <v>1197</v>
      </c>
      <c r="AJ28" s="113">
        <v>-64961</v>
      </c>
      <c r="AK28" s="99">
        <v>5</v>
      </c>
      <c r="AL28" s="99">
        <f t="shared" si="9"/>
        <v>318</v>
      </c>
      <c r="AM28" s="113">
        <f t="shared" si="10"/>
        <v>-20657598</v>
      </c>
      <c r="AN28" s="99"/>
      <c r="AP28" s="96"/>
      <c r="AT28"/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4"/>
        <v>4195580.8783173207</v>
      </c>
      <c r="D29" s="3">
        <f t="shared" si="5"/>
        <v>3408191.0422495506</v>
      </c>
      <c r="E29" s="3">
        <f t="shared" si="11"/>
        <v>313496539.22527236</v>
      </c>
      <c r="F29" s="3"/>
      <c r="G29" s="11"/>
      <c r="H29" s="11"/>
      <c r="K29" s="168"/>
      <c r="L29" s="117"/>
      <c r="M29" s="168"/>
      <c r="N29" s="113"/>
      <c r="O29" s="69" t="s">
        <v>25</v>
      </c>
      <c r="P29" s="99"/>
      <c r="Q29" s="169">
        <v>168846</v>
      </c>
      <c r="R29" s="168" t="s">
        <v>3691</v>
      </c>
      <c r="S29" s="198">
        <f>S28-28</f>
        <v>56</v>
      </c>
      <c r="T29" s="168" t="s">
        <v>4631</v>
      </c>
      <c r="U29" s="168">
        <v>172.2</v>
      </c>
      <c r="V29" s="168">
        <f>U29*(1+$N$95+$Q$15*S29/36500)</f>
        <v>181.52616328767124</v>
      </c>
      <c r="W29" s="32">
        <f t="shared" si="6"/>
        <v>185.15668655342466</v>
      </c>
      <c r="X29" s="32">
        <f t="shared" si="7"/>
        <v>188.78720981917809</v>
      </c>
      <c r="Y29" s="96"/>
      <c r="Z29" s="96"/>
      <c r="AH29" s="99">
        <v>10</v>
      </c>
      <c r="AI29" s="113" t="s">
        <v>1213</v>
      </c>
      <c r="AJ29" s="113">
        <v>6400000</v>
      </c>
      <c r="AK29" s="99">
        <v>1</v>
      </c>
      <c r="AL29" s="99">
        <f t="shared" si="9"/>
        <v>313</v>
      </c>
      <c r="AM29" s="113">
        <f t="shared" si="10"/>
        <v>2003200000</v>
      </c>
      <c r="AN29" s="99"/>
      <c r="AP29" s="96"/>
      <c r="AT29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4"/>
        <v>4237536.6871004943</v>
      </c>
      <c r="D30" s="3">
        <f t="shared" si="5"/>
        <v>3442272.9526720461</v>
      </c>
      <c r="E30" s="3">
        <f t="shared" si="11"/>
        <v>320561733.74420619</v>
      </c>
      <c r="F30" s="3"/>
      <c r="G30" s="11"/>
      <c r="H30" s="11"/>
      <c r="J30" s="25"/>
      <c r="K30" s="168"/>
      <c r="L30" s="117"/>
      <c r="M30" s="190" t="s">
        <v>4460</v>
      </c>
      <c r="N30" s="113">
        <v>164172</v>
      </c>
      <c r="O30" s="69" t="s">
        <v>25</v>
      </c>
      <c r="P30" s="99"/>
      <c r="Q30" s="169">
        <v>250962</v>
      </c>
      <c r="R30" s="168" t="s">
        <v>4675</v>
      </c>
      <c r="S30" s="198">
        <f>S29-10</f>
        <v>46</v>
      </c>
      <c r="T30" s="168" t="s">
        <v>4676</v>
      </c>
      <c r="U30" s="168">
        <v>5315.5</v>
      </c>
      <c r="V30" s="168">
        <f>U30*(1+$N$95+$Q$15*S30/36500)</f>
        <v>5562.6052164383564</v>
      </c>
      <c r="W30" s="32">
        <f t="shared" si="6"/>
        <v>5673.8573207671234</v>
      </c>
      <c r="X30" s="32">
        <f t="shared" si="7"/>
        <v>5785.1094250958904</v>
      </c>
      <c r="Y30" s="96"/>
      <c r="Z30" s="96"/>
      <c r="AH30" s="99">
        <v>11</v>
      </c>
      <c r="AI30" s="113" t="s">
        <v>4055</v>
      </c>
      <c r="AJ30" s="113">
        <v>-170000</v>
      </c>
      <c r="AK30" s="99">
        <v>5</v>
      </c>
      <c r="AL30" s="99">
        <f t="shared" si="9"/>
        <v>312</v>
      </c>
      <c r="AM30" s="113">
        <f t="shared" si="10"/>
        <v>-53040000</v>
      </c>
      <c r="AN30" s="99"/>
      <c r="AP30" s="96"/>
      <c r="AT30" t="s">
        <v>25</v>
      </c>
      <c r="AV30" s="96"/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4"/>
        <v>4279912.0539714992</v>
      </c>
      <c r="D31" s="3">
        <f t="shared" si="5"/>
        <v>3476695.6821987666</v>
      </c>
      <c r="E31" s="3">
        <f t="shared" si="11"/>
        <v>327776184.79086304</v>
      </c>
      <c r="F31" s="3"/>
      <c r="G31" s="11"/>
      <c r="H31" s="11"/>
      <c r="J31" s="25"/>
      <c r="K31" s="168"/>
      <c r="L31" s="117"/>
      <c r="M31" s="190" t="s">
        <v>4395</v>
      </c>
      <c r="N31" s="113">
        <f>O31*P31</f>
        <v>255116</v>
      </c>
      <c r="O31" s="69">
        <v>47</v>
      </c>
      <c r="P31" s="99">
        <f>P54</f>
        <v>5428</v>
      </c>
      <c r="Q31" s="169">
        <v>350718</v>
      </c>
      <c r="R31" s="217" t="s">
        <v>4725</v>
      </c>
      <c r="S31" s="198">
        <f>S30-7</f>
        <v>39</v>
      </c>
      <c r="T31" s="217" t="s">
        <v>4726</v>
      </c>
      <c r="U31" s="217">
        <v>502.3</v>
      </c>
      <c r="V31" s="217">
        <f>U31*(1+$N$95+$Q$15*S31/36500)</f>
        <v>522.95347506849316</v>
      </c>
      <c r="W31" s="32">
        <f t="shared" si="6"/>
        <v>533.41254456986303</v>
      </c>
      <c r="X31" s="32">
        <f t="shared" si="7"/>
        <v>543.8716140712329</v>
      </c>
      <c r="Y31" s="96"/>
      <c r="Z31" s="96"/>
      <c r="AH31" s="99">
        <v>12</v>
      </c>
      <c r="AI31" s="113" t="s">
        <v>1233</v>
      </c>
      <c r="AJ31" s="113">
        <v>-6300000</v>
      </c>
      <c r="AK31" s="99">
        <v>1</v>
      </c>
      <c r="AL31" s="99">
        <f>AL32+AK31</f>
        <v>307</v>
      </c>
      <c r="AM31" s="113">
        <f t="shared" si="10"/>
        <v>-1934100000</v>
      </c>
      <c r="AN31" s="99"/>
      <c r="AP31" s="96"/>
      <c r="AV31" s="96"/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4"/>
        <v>4322711.1745112138</v>
      </c>
      <c r="D32" s="3">
        <f t="shared" si="5"/>
        <v>3511462.6390207545</v>
      </c>
      <c r="E32" s="3">
        <f t="shared" si="11"/>
        <v>335142957.02217078</v>
      </c>
      <c r="F32" s="3"/>
      <c r="G32" s="11"/>
      <c r="H32" s="11"/>
      <c r="J32" s="55"/>
      <c r="K32" s="217"/>
      <c r="L32" s="117"/>
      <c r="M32" s="190" t="s">
        <v>4391</v>
      </c>
      <c r="N32" s="113">
        <f>O32*P32</f>
        <v>361916.8</v>
      </c>
      <c r="O32" s="69">
        <v>107</v>
      </c>
      <c r="P32" s="99">
        <f>P49</f>
        <v>3382.4</v>
      </c>
      <c r="Q32" s="169">
        <v>17953742</v>
      </c>
      <c r="R32" s="217" t="s">
        <v>3684</v>
      </c>
      <c r="S32" s="198">
        <f>S31-15</f>
        <v>24</v>
      </c>
      <c r="T32" s="217" t="s">
        <v>4775</v>
      </c>
      <c r="U32" s="217">
        <v>486.4</v>
      </c>
      <c r="V32" s="217">
        <f>U32*(1+$N$95+$Q$15*S32/36500)</f>
        <v>500.80277041095889</v>
      </c>
      <c r="W32" s="32">
        <f t="shared" si="6"/>
        <v>510.81882581917807</v>
      </c>
      <c r="X32" s="32">
        <f t="shared" si="7"/>
        <v>520.8348812273972</v>
      </c>
      <c r="Y32" s="96"/>
      <c r="Z32" s="96"/>
      <c r="AH32" s="99">
        <v>13</v>
      </c>
      <c r="AI32" s="113" t="s">
        <v>1242</v>
      </c>
      <c r="AJ32" s="113">
        <v>-52015</v>
      </c>
      <c r="AK32" s="99">
        <v>16</v>
      </c>
      <c r="AL32" s="99">
        <f t="shared" si="9"/>
        <v>306</v>
      </c>
      <c r="AM32" s="113">
        <f t="shared" si="10"/>
        <v>-15916590</v>
      </c>
      <c r="AN32" s="99"/>
      <c r="AP32" s="96"/>
      <c r="AQ32" s="96"/>
      <c r="AR32" s="96"/>
      <c r="AS32" s="96"/>
      <c r="AV32" s="96"/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4"/>
        <v>4365938.2862563264</v>
      </c>
      <c r="D33" s="3">
        <f t="shared" si="5"/>
        <v>3546577.265410962</v>
      </c>
      <c r="E33" s="3">
        <f t="shared" si="11"/>
        <v>342665177.18345958</v>
      </c>
      <c r="F33" s="3"/>
      <c r="G33" s="11"/>
      <c r="H33" s="11"/>
      <c r="J33" s="25"/>
      <c r="K33" s="217"/>
      <c r="L33" s="117"/>
      <c r="M33" s="190" t="s">
        <v>4915</v>
      </c>
      <c r="N33" s="113">
        <f>O33*P33</f>
        <v>461538</v>
      </c>
      <c r="O33" s="69">
        <v>1998</v>
      </c>
      <c r="P33" s="99">
        <f>P52</f>
        <v>231</v>
      </c>
      <c r="Q33" s="169">
        <v>9566181</v>
      </c>
      <c r="R33" s="217" t="s">
        <v>4776</v>
      </c>
      <c r="S33" s="198">
        <f>S32-1</f>
        <v>23</v>
      </c>
      <c r="T33" s="217" t="s">
        <v>4777</v>
      </c>
      <c r="U33" s="217">
        <v>476.1</v>
      </c>
      <c r="V33" s="217">
        <f>U33*(1+$N$95+$Q$15*S33/36500)</f>
        <v>489.83255013698636</v>
      </c>
      <c r="W33" s="32">
        <f t="shared" si="6"/>
        <v>499.62920113972609</v>
      </c>
      <c r="X33" s="32">
        <f t="shared" si="7"/>
        <v>509.42585214246583</v>
      </c>
      <c r="Y33" s="96"/>
      <c r="Z33" s="96"/>
      <c r="AH33" s="99">
        <v>14</v>
      </c>
      <c r="AI33" s="113" t="s">
        <v>3708</v>
      </c>
      <c r="AJ33" s="113">
        <v>20017400</v>
      </c>
      <c r="AK33" s="99">
        <v>0</v>
      </c>
      <c r="AL33" s="99">
        <f t="shared" si="9"/>
        <v>290</v>
      </c>
      <c r="AM33" s="113">
        <f t="shared" si="10"/>
        <v>5805046000</v>
      </c>
      <c r="AN33" s="99"/>
      <c r="AP33" s="96"/>
      <c r="AQ33" s="96"/>
      <c r="AR33" s="96"/>
      <c r="AS33" s="96"/>
      <c r="AV33" s="96"/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4"/>
        <v>4409597.6691188896</v>
      </c>
      <c r="D34" s="3">
        <f t="shared" si="5"/>
        <v>3582043.0380650717</v>
      </c>
      <c r="E34" s="3">
        <f t="shared" si="11"/>
        <v>350346035.35818261</v>
      </c>
      <c r="F34" s="3"/>
      <c r="G34" s="11"/>
      <c r="H34" s="11"/>
      <c r="K34" s="217"/>
      <c r="L34" s="117"/>
      <c r="M34" s="190" t="s">
        <v>4410</v>
      </c>
      <c r="N34" s="113">
        <f>O34*P34</f>
        <v>409446.8</v>
      </c>
      <c r="O34" s="69">
        <v>698</v>
      </c>
      <c r="P34" s="99">
        <f>P55</f>
        <v>586.6</v>
      </c>
      <c r="Q34" s="169">
        <v>10881161</v>
      </c>
      <c r="R34" s="217" t="s">
        <v>4776</v>
      </c>
      <c r="S34" s="198">
        <f>S33</f>
        <v>23</v>
      </c>
      <c r="T34" s="217" t="s">
        <v>4778</v>
      </c>
      <c r="U34" s="217">
        <v>3095</v>
      </c>
      <c r="V34" s="217">
        <f>U34*(1+$N$95+$Q$15*S34/36500)</f>
        <v>3184.271671232877</v>
      </c>
      <c r="W34" s="32">
        <f t="shared" ref="W34:W50" si="12">V34*(1+$W$19/100)</f>
        <v>3247.9571046575347</v>
      </c>
      <c r="X34" s="32">
        <f t="shared" ref="X34:X50" si="13">V34*(1+$X$19/100)</f>
        <v>3311.642538082192</v>
      </c>
      <c r="Y34" s="96"/>
      <c r="Z34" s="96"/>
      <c r="AH34" s="99">
        <v>15</v>
      </c>
      <c r="AI34" s="113" t="s">
        <v>3708</v>
      </c>
      <c r="AJ34" s="113">
        <v>1014466</v>
      </c>
      <c r="AK34" s="99">
        <v>12</v>
      </c>
      <c r="AL34" s="99">
        <f t="shared" si="9"/>
        <v>290</v>
      </c>
      <c r="AM34" s="113">
        <f t="shared" si="10"/>
        <v>294195140</v>
      </c>
      <c r="AN34" s="99"/>
      <c r="AP34" s="96"/>
      <c r="AQ34" s="96"/>
      <c r="AR34" s="96"/>
      <c r="AS34" s="96"/>
      <c r="AV34" s="96"/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4"/>
        <v>4453693.6458100788</v>
      </c>
      <c r="D35" s="3">
        <f t="shared" si="5"/>
        <v>3617863.4684457225</v>
      </c>
      <c r="E35" s="3">
        <f t="shared" si="11"/>
        <v>358188786.24271059</v>
      </c>
      <c r="F35" s="3"/>
      <c r="G35" s="11"/>
      <c r="H35" s="11"/>
      <c r="K35" s="217"/>
      <c r="L35" s="117"/>
      <c r="M35" s="190" t="s">
        <v>4941</v>
      </c>
      <c r="N35" s="113">
        <f>O35*P35</f>
        <v>61830</v>
      </c>
      <c r="O35" s="69">
        <v>229</v>
      </c>
      <c r="P35" s="99">
        <f>P63</f>
        <v>270</v>
      </c>
      <c r="Q35" s="169">
        <v>1563192</v>
      </c>
      <c r="R35" s="217" t="s">
        <v>4776</v>
      </c>
      <c r="S35" s="198">
        <f>S34</f>
        <v>23</v>
      </c>
      <c r="T35" s="217" t="s">
        <v>4779</v>
      </c>
      <c r="U35" s="217">
        <v>168.8</v>
      </c>
      <c r="V35" s="217">
        <f>U35*(1+$N$95+$Q$15*S35/36500)</f>
        <v>173.66883945205481</v>
      </c>
      <c r="W35" s="32">
        <f t="shared" si="12"/>
        <v>177.14221624109592</v>
      </c>
      <c r="X35" s="32">
        <f t="shared" si="13"/>
        <v>180.61559303013701</v>
      </c>
      <c r="Y35" s="96" t="s">
        <v>25</v>
      </c>
      <c r="Z35" s="96" t="s">
        <v>25</v>
      </c>
      <c r="AH35" s="99">
        <v>16</v>
      </c>
      <c r="AI35" s="113" t="s">
        <v>1144</v>
      </c>
      <c r="AJ35" s="113">
        <v>360000</v>
      </c>
      <c r="AK35" s="99">
        <v>2</v>
      </c>
      <c r="AL35" s="99">
        <f t="shared" si="9"/>
        <v>278</v>
      </c>
      <c r="AM35" s="113">
        <f t="shared" si="10"/>
        <v>100080000</v>
      </c>
      <c r="AN35" s="99"/>
      <c r="AP35" s="96"/>
      <c r="AQ35" s="96"/>
      <c r="AR35" s="96"/>
      <c r="AS35" s="96"/>
      <c r="AV35" s="96"/>
      <c r="AW35" s="96"/>
      <c r="AX35" s="96"/>
      <c r="AY35" s="96"/>
      <c r="AZ35" s="96"/>
      <c r="BA35" s="96"/>
      <c r="BB35" s="96"/>
    </row>
    <row r="36" spans="1:54">
      <c r="A36" s="61">
        <v>98</v>
      </c>
      <c r="B36" s="11">
        <v>34</v>
      </c>
      <c r="C36" s="3">
        <f t="shared" si="4"/>
        <v>4498230.5822681794</v>
      </c>
      <c r="D36" s="3">
        <f t="shared" si="5"/>
        <v>3654042.1031301799</v>
      </c>
      <c r="E36" s="3">
        <f t="shared" si="11"/>
        <v>366196750.44670284</v>
      </c>
      <c r="F36" s="3"/>
      <c r="G36" s="11"/>
      <c r="H36" s="11"/>
      <c r="K36" s="168"/>
      <c r="L36" s="117"/>
      <c r="M36" s="190" t="s">
        <v>4439</v>
      </c>
      <c r="N36" s="113">
        <f>O36*P36</f>
        <v>3300584</v>
      </c>
      <c r="O36" s="69">
        <v>17335</v>
      </c>
      <c r="P36" s="99">
        <f>P62</f>
        <v>190.4</v>
      </c>
      <c r="Q36" s="169">
        <v>5021554</v>
      </c>
      <c r="R36" s="217" t="s">
        <v>4776</v>
      </c>
      <c r="S36" s="198">
        <f>S35</f>
        <v>23</v>
      </c>
      <c r="T36" s="217" t="s">
        <v>4780</v>
      </c>
      <c r="U36" s="217">
        <v>3859.8</v>
      </c>
      <c r="V36" s="217">
        <f>U36*(1+$N$95+$Q$15*S36/36500)</f>
        <v>3971.1314367123291</v>
      </c>
      <c r="W36" s="32">
        <f t="shared" si="12"/>
        <v>4050.5540654465758</v>
      </c>
      <c r="X36" s="32">
        <f t="shared" si="13"/>
        <v>4129.9766941808221</v>
      </c>
      <c r="Y36" s="96" t="s">
        <v>25</v>
      </c>
      <c r="Z36" s="96"/>
      <c r="AH36" s="99">
        <v>17</v>
      </c>
      <c r="AI36" s="113" t="s">
        <v>3768</v>
      </c>
      <c r="AJ36" s="113">
        <v>-350000</v>
      </c>
      <c r="AK36" s="99">
        <v>0</v>
      </c>
      <c r="AL36" s="99">
        <f t="shared" si="9"/>
        <v>276</v>
      </c>
      <c r="AM36" s="113">
        <f t="shared" si="10"/>
        <v>-96600000</v>
      </c>
      <c r="AN36" s="99"/>
      <c r="AP36" s="96"/>
      <c r="AQ36" s="96"/>
      <c r="AR36" s="96"/>
      <c r="AS36" s="96"/>
      <c r="AV36" s="96"/>
      <c r="AW36" s="96"/>
      <c r="AX36" s="96"/>
      <c r="AY36" s="96"/>
      <c r="AZ36" s="96"/>
      <c r="BA36" s="96"/>
      <c r="BB36" s="96"/>
    </row>
    <row r="37" spans="1:54">
      <c r="A37" s="61">
        <v>98</v>
      </c>
      <c r="B37" s="11">
        <v>35</v>
      </c>
      <c r="C37" s="3">
        <f t="shared" si="4"/>
        <v>4543212.888090861</v>
      </c>
      <c r="D37" s="3">
        <f t="shared" si="5"/>
        <v>3690582.5241614818</v>
      </c>
      <c r="E37" s="3">
        <f t="shared" si="11"/>
        <v>374373315.81956631</v>
      </c>
      <c r="F37" s="3"/>
      <c r="G37" s="11"/>
      <c r="H37" s="11"/>
      <c r="K37" s="168" t="s">
        <v>25</v>
      </c>
      <c r="L37" s="117"/>
      <c r="M37" s="168"/>
      <c r="N37" s="113"/>
      <c r="P37" t="s">
        <v>25</v>
      </c>
      <c r="Q37" s="169">
        <v>10206388</v>
      </c>
      <c r="R37" s="217" t="s">
        <v>4786</v>
      </c>
      <c r="S37" s="198">
        <f>S36-1</f>
        <v>22</v>
      </c>
      <c r="T37" s="217" t="s">
        <v>4789</v>
      </c>
      <c r="U37" s="217">
        <v>3099.2</v>
      </c>
      <c r="V37" s="217">
        <f>U37*(1+$N$95+$Q$15*S37/36500)</f>
        <v>3186.2153468493152</v>
      </c>
      <c r="W37" s="32">
        <f t="shared" si="12"/>
        <v>3249.9396537863017</v>
      </c>
      <c r="X37" s="32">
        <f t="shared" si="13"/>
        <v>3313.6639607232878</v>
      </c>
      <c r="Y37" s="96" t="s">
        <v>25</v>
      </c>
      <c r="Z37" s="96"/>
      <c r="AH37" s="99">
        <v>18</v>
      </c>
      <c r="AI37" s="113" t="s">
        <v>3768</v>
      </c>
      <c r="AJ37" s="113">
        <v>1000</v>
      </c>
      <c r="AK37" s="99">
        <v>1</v>
      </c>
      <c r="AL37" s="99">
        <f t="shared" si="9"/>
        <v>276</v>
      </c>
      <c r="AM37" s="113">
        <f t="shared" si="10"/>
        <v>276000</v>
      </c>
      <c r="AN37" s="99"/>
      <c r="AP37" s="96"/>
      <c r="AQ37" s="96"/>
      <c r="AR37" s="96"/>
      <c r="AS37" s="96"/>
      <c r="AV37" s="96"/>
      <c r="AW37" s="96"/>
      <c r="AX37" s="96"/>
      <c r="AY37" s="96"/>
      <c r="AZ37" s="96"/>
      <c r="BA37" s="96"/>
      <c r="BB37" s="96"/>
    </row>
    <row r="38" spans="1:54">
      <c r="A38" s="61">
        <v>98</v>
      </c>
      <c r="B38" s="11">
        <v>36</v>
      </c>
      <c r="C38" s="3">
        <f t="shared" si="4"/>
        <v>4588645.0169717697</v>
      </c>
      <c r="D38" s="3">
        <f t="shared" si="5"/>
        <v>3727488.3494030968</v>
      </c>
      <c r="E38" s="46">
        <f t="shared" si="11"/>
        <v>382721938.80352634</v>
      </c>
      <c r="F38" s="3"/>
      <c r="G38" s="11"/>
      <c r="H38" s="11"/>
      <c r="K38" s="168" t="s">
        <v>25</v>
      </c>
      <c r="L38" s="117"/>
      <c r="M38" s="168" t="s">
        <v>756</v>
      </c>
      <c r="N38" s="113">
        <v>3000000</v>
      </c>
      <c r="O38" t="s">
        <v>25</v>
      </c>
      <c r="P38" t="s">
        <v>25</v>
      </c>
      <c r="Q38" s="169">
        <v>13402013</v>
      </c>
      <c r="R38" s="217" t="s">
        <v>4786</v>
      </c>
      <c r="S38" s="198">
        <f>S37</f>
        <v>22</v>
      </c>
      <c r="T38" s="217" t="s">
        <v>4790</v>
      </c>
      <c r="U38" s="217">
        <v>3853.3</v>
      </c>
      <c r="V38" s="217">
        <f>U38*(1+$N$95+$Q$15*S38/36500)</f>
        <v>3961.4879956164391</v>
      </c>
      <c r="W38" s="32">
        <f t="shared" si="12"/>
        <v>4040.7177555287681</v>
      </c>
      <c r="X38" s="32">
        <f t="shared" si="13"/>
        <v>4119.9475154410966</v>
      </c>
      <c r="Y38" s="96" t="s">
        <v>25</v>
      </c>
      <c r="Z38" s="96"/>
      <c r="AH38" s="99">
        <v>19</v>
      </c>
      <c r="AI38" s="113" t="s">
        <v>3772</v>
      </c>
      <c r="AJ38" s="113">
        <v>33610000</v>
      </c>
      <c r="AK38" s="99">
        <v>4</v>
      </c>
      <c r="AL38" s="99">
        <f t="shared" si="9"/>
        <v>275</v>
      </c>
      <c r="AM38" s="113">
        <f t="shared" si="10"/>
        <v>9242750000</v>
      </c>
      <c r="AN38" s="99"/>
      <c r="AP38" s="96"/>
      <c r="AQ38" s="96"/>
      <c r="AR38" s="96"/>
      <c r="AS38" s="96"/>
      <c r="AV38" s="96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4"/>
        <v>4634531.4671414876</v>
      </c>
      <c r="D39" s="3">
        <f t="shared" si="5"/>
        <v>3764763.232897128</v>
      </c>
      <c r="E39" s="3">
        <f t="shared" si="11"/>
        <v>391246145.81384128</v>
      </c>
      <c r="F39" s="3"/>
      <c r="G39" s="11"/>
      <c r="H39" s="11"/>
      <c r="K39" s="168" t="s">
        <v>918</v>
      </c>
      <c r="L39" s="117">
        <v>4800000</v>
      </c>
      <c r="M39" s="168" t="s">
        <v>4149</v>
      </c>
      <c r="N39" s="113">
        <f>-S155</f>
        <v>-400470604.2089476</v>
      </c>
      <c r="O39" s="96" t="s">
        <v>25</v>
      </c>
      <c r="P39" s="96" t="s">
        <v>25</v>
      </c>
      <c r="Q39" s="169">
        <v>138358</v>
      </c>
      <c r="R39" s="217" t="s">
        <v>4795</v>
      </c>
      <c r="S39" s="198">
        <f>S38-1</f>
        <v>21</v>
      </c>
      <c r="T39" s="217" t="s">
        <v>4796</v>
      </c>
      <c r="U39" s="217">
        <v>3130</v>
      </c>
      <c r="V39" s="217">
        <f>U39*(1+$N$95+$Q$15*S39/36500)</f>
        <v>3215.4790136986303</v>
      </c>
      <c r="W39" s="32">
        <f t="shared" si="12"/>
        <v>3279.7885939726029</v>
      </c>
      <c r="X39" s="32">
        <f t="shared" si="13"/>
        <v>3344.0981742465756</v>
      </c>
      <c r="Y39" s="96"/>
      <c r="Z39" s="96"/>
      <c r="AA39" s="96"/>
      <c r="AB39" s="96"/>
      <c r="AC39" s="96"/>
      <c r="AD39" s="96"/>
      <c r="AH39" s="99">
        <v>20</v>
      </c>
      <c r="AI39" s="113" t="s">
        <v>4056</v>
      </c>
      <c r="AJ39" s="113">
        <v>-15600000</v>
      </c>
      <c r="AK39" s="99">
        <v>3</v>
      </c>
      <c r="AL39" s="99">
        <f t="shared" si="9"/>
        <v>271</v>
      </c>
      <c r="AM39" s="113">
        <f t="shared" si="10"/>
        <v>-4227600000</v>
      </c>
      <c r="AN39" s="99"/>
      <c r="AP39" s="96"/>
      <c r="AQ39" s="96"/>
      <c r="AR39" s="96"/>
      <c r="AS39" s="96"/>
      <c r="AV39" s="96"/>
      <c r="AW39" s="96"/>
      <c r="AX39" s="96"/>
      <c r="AY39" s="96"/>
      <c r="AZ39" s="96"/>
      <c r="BA39" s="96"/>
      <c r="BB39" s="96"/>
    </row>
    <row r="40" spans="1:54">
      <c r="A40" s="62">
        <v>99</v>
      </c>
      <c r="B40" s="11">
        <v>38</v>
      </c>
      <c r="C40" s="44">
        <f t="shared" si="4"/>
        <v>4680876.7818129025</v>
      </c>
      <c r="D40" s="3">
        <f t="shared" si="5"/>
        <v>3802410.8652260993</v>
      </c>
      <c r="E40" s="3">
        <f t="shared" si="11"/>
        <v>399949534.64670491</v>
      </c>
      <c r="F40" s="3"/>
      <c r="G40" s="11"/>
      <c r="H40" s="11"/>
      <c r="K40" s="168"/>
      <c r="L40" s="117"/>
      <c r="M40" s="168" t="s">
        <v>753</v>
      </c>
      <c r="N40" s="113">
        <v>500000</v>
      </c>
      <c r="O40" s="96" t="s">
        <v>25</v>
      </c>
      <c r="P40" s="122" t="s">
        <v>25</v>
      </c>
      <c r="Q40" s="169">
        <v>3377001</v>
      </c>
      <c r="R40" s="217" t="s">
        <v>4804</v>
      </c>
      <c r="S40" s="198">
        <f>S39-4</f>
        <v>17</v>
      </c>
      <c r="T40" s="217" t="s">
        <v>4810</v>
      </c>
      <c r="U40" s="217">
        <v>3324.8</v>
      </c>
      <c r="V40" s="217">
        <f>U40*(1+$N$95+$Q$15*S40/36500)</f>
        <v>3405.3967956164392</v>
      </c>
      <c r="W40" s="32">
        <f t="shared" si="12"/>
        <v>3473.5047315287679</v>
      </c>
      <c r="X40" s="32">
        <f t="shared" si="13"/>
        <v>3541.6126674410971</v>
      </c>
      <c r="Y40" s="96" t="s">
        <v>25</v>
      </c>
      <c r="Z40" s="96" t="s">
        <v>25</v>
      </c>
      <c r="AA40" s="96"/>
      <c r="AB40" s="96"/>
      <c r="AC40" s="96"/>
      <c r="AD40" s="96"/>
      <c r="AH40" s="99">
        <v>21</v>
      </c>
      <c r="AI40" s="113" t="s">
        <v>3786</v>
      </c>
      <c r="AJ40" s="113">
        <v>7500000</v>
      </c>
      <c r="AK40" s="99">
        <v>4</v>
      </c>
      <c r="AL40" s="99">
        <f t="shared" si="9"/>
        <v>268</v>
      </c>
      <c r="AM40" s="113">
        <f t="shared" si="10"/>
        <v>2010000000</v>
      </c>
      <c r="AN40" s="99"/>
      <c r="AP40" s="96"/>
      <c r="AQ40" s="96"/>
      <c r="AR40" s="96"/>
      <c r="AS40" s="96"/>
      <c r="AV40" s="96"/>
      <c r="AW40" s="96"/>
      <c r="AX40" s="96"/>
      <c r="AY40" s="96"/>
      <c r="AZ40" s="96"/>
      <c r="BA40" s="96"/>
      <c r="BB40" s="96"/>
    </row>
    <row r="41" spans="1:54">
      <c r="A41" s="62">
        <v>99</v>
      </c>
      <c r="B41" s="11">
        <v>39</v>
      </c>
      <c r="C41" s="44">
        <f t="shared" si="4"/>
        <v>4727685.5496310312</v>
      </c>
      <c r="D41" s="3">
        <f t="shared" si="5"/>
        <v>3840434.9738783604</v>
      </c>
      <c r="E41" s="3">
        <f t="shared" si="11"/>
        <v>408835775.91539168</v>
      </c>
      <c r="F41" s="3"/>
      <c r="G41" s="11"/>
      <c r="H41" s="11"/>
      <c r="K41" s="168" t="s">
        <v>1086</v>
      </c>
      <c r="L41" s="117">
        <f>'خرید و فروش سکه فیزیکی'!M48*10*P64</f>
        <v>42300000</v>
      </c>
      <c r="M41" s="168" t="s">
        <v>760</v>
      </c>
      <c r="N41" s="113">
        <v>1200000</v>
      </c>
      <c r="O41" t="s">
        <v>25</v>
      </c>
      <c r="P41" t="s">
        <v>25</v>
      </c>
      <c r="Q41" s="169">
        <v>63610880</v>
      </c>
      <c r="R41" s="217" t="s">
        <v>4804</v>
      </c>
      <c r="S41" s="198">
        <f>S40</f>
        <v>17</v>
      </c>
      <c r="T41" s="217" t="s">
        <v>4808</v>
      </c>
      <c r="U41" s="217">
        <v>4176.3</v>
      </c>
      <c r="V41" s="217">
        <f>U41*(1+$N$95+$Q$15*S41/36500)</f>
        <v>4277.5380887671245</v>
      </c>
      <c r="W41" s="32">
        <f t="shared" si="12"/>
        <v>4363.0888505424673</v>
      </c>
      <c r="X41" s="32">
        <f t="shared" si="13"/>
        <v>4448.6396123178092</v>
      </c>
      <c r="Y41" s="96"/>
      <c r="Z41" s="96"/>
      <c r="AA41" s="96"/>
      <c r="AB41" s="96"/>
      <c r="AC41" s="96"/>
      <c r="AD41" s="96"/>
      <c r="AH41" s="99">
        <v>22</v>
      </c>
      <c r="AI41" s="113" t="s">
        <v>4057</v>
      </c>
      <c r="AJ41" s="113">
        <v>-98000</v>
      </c>
      <c r="AK41" s="99">
        <v>1</v>
      </c>
      <c r="AL41" s="99">
        <f t="shared" si="9"/>
        <v>264</v>
      </c>
      <c r="AM41" s="113">
        <f t="shared" si="10"/>
        <v>-25872000</v>
      </c>
      <c r="AN41" s="99"/>
      <c r="AP41" s="96"/>
      <c r="AQ41" s="96"/>
      <c r="AR41" s="96"/>
      <c r="AS41" s="96"/>
      <c r="AV41" s="96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4"/>
        <v>4774962.4051273419</v>
      </c>
      <c r="D42" s="3">
        <f t="shared" si="5"/>
        <v>3878839.323617144</v>
      </c>
      <c r="E42" s="3">
        <f t="shared" si="11"/>
        <v>417908614.51520973</v>
      </c>
      <c r="F42" s="3"/>
      <c r="G42" s="11"/>
      <c r="H42" s="11"/>
      <c r="K42" s="168" t="s">
        <v>4841</v>
      </c>
      <c r="L42" s="117">
        <v>-47500000</v>
      </c>
      <c r="M42" s="73"/>
      <c r="N42" s="113"/>
      <c r="O42" s="96" t="s">
        <v>25</v>
      </c>
      <c r="P42" s="96" t="s">
        <v>25</v>
      </c>
      <c r="Q42" s="169">
        <v>15499033</v>
      </c>
      <c r="R42" s="217" t="s">
        <v>4804</v>
      </c>
      <c r="S42" s="198">
        <f>S41</f>
        <v>17</v>
      </c>
      <c r="T42" s="217" t="s">
        <v>4809</v>
      </c>
      <c r="U42" s="217">
        <v>525.1</v>
      </c>
      <c r="V42" s="217">
        <f>U42*(1+$N$95+$Q$15*S42/36500)</f>
        <v>537.82899945205486</v>
      </c>
      <c r="W42" s="32">
        <f t="shared" si="12"/>
        <v>548.585579441096</v>
      </c>
      <c r="X42" s="32">
        <f t="shared" si="13"/>
        <v>559.34215943013703</v>
      </c>
      <c r="Y42" s="115" t="s">
        <v>25</v>
      </c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4051</v>
      </c>
      <c r="AJ42" s="113">
        <v>-26000000</v>
      </c>
      <c r="AK42" s="99">
        <v>0</v>
      </c>
      <c r="AL42" s="99">
        <f t="shared" si="9"/>
        <v>263</v>
      </c>
      <c r="AM42" s="113">
        <f t="shared" si="10"/>
        <v>-6838000000</v>
      </c>
      <c r="AN42" s="99"/>
      <c r="AP42" s="96"/>
      <c r="AQ42" s="96"/>
      <c r="AR42" s="96"/>
      <c r="AS42" s="96"/>
      <c r="AV42" s="96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4"/>
        <v>4822712.0291786157</v>
      </c>
      <c r="D43" s="3">
        <f t="shared" si="5"/>
        <v>3917627.7168533155</v>
      </c>
      <c r="E43" s="3">
        <f t="shared" si="11"/>
        <v>427171871.11783922</v>
      </c>
      <c r="F43" s="3"/>
      <c r="G43" s="11"/>
      <c r="H43" s="11"/>
      <c r="K43" s="168"/>
      <c r="L43" s="117"/>
      <c r="M43" s="168" t="s">
        <v>1086</v>
      </c>
      <c r="N43" s="113">
        <f>('خرید و فروش سکه فیزیکی'!M47+3)*10*P64</f>
        <v>32900000</v>
      </c>
      <c r="O43" s="96"/>
      <c r="P43" s="96" t="s">
        <v>25</v>
      </c>
      <c r="Q43" s="169">
        <v>30673673</v>
      </c>
      <c r="R43" s="217" t="s">
        <v>4814</v>
      </c>
      <c r="S43" s="198">
        <f>S42-1</f>
        <v>16</v>
      </c>
      <c r="T43" s="217" t="s">
        <v>4819</v>
      </c>
      <c r="U43" s="217">
        <v>529.79999999999995</v>
      </c>
      <c r="V43" s="217">
        <f>U43*(1+$N$95+$Q$15*S43/36500)</f>
        <v>542.23651068493143</v>
      </c>
      <c r="W43" s="32">
        <f t="shared" si="12"/>
        <v>553.08124089863009</v>
      </c>
      <c r="X43" s="32">
        <f t="shared" si="13"/>
        <v>563.92597111232874</v>
      </c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4051</v>
      </c>
      <c r="AJ43" s="113">
        <v>25000000</v>
      </c>
      <c r="AK43" s="99">
        <v>1</v>
      </c>
      <c r="AL43" s="99">
        <f t="shared" si="9"/>
        <v>263</v>
      </c>
      <c r="AM43" s="113">
        <f t="shared" si="10"/>
        <v>6575000000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4"/>
        <v>4870939.1494704019</v>
      </c>
      <c r="D44" s="3">
        <f t="shared" si="5"/>
        <v>3956803.9940218488</v>
      </c>
      <c r="E44" s="3">
        <f t="shared" si="11"/>
        <v>436629443.69564456</v>
      </c>
      <c r="F44" s="3"/>
      <c r="G44" s="11"/>
      <c r="H44" s="11"/>
      <c r="K44" s="168"/>
      <c r="L44" s="117"/>
      <c r="M44" s="168" t="s">
        <v>4840</v>
      </c>
      <c r="N44" s="113">
        <v>-18000000</v>
      </c>
      <c r="O44" s="96"/>
      <c r="P44" s="114"/>
      <c r="Q44" s="169">
        <v>5420397</v>
      </c>
      <c r="R44" s="217" t="s">
        <v>4814</v>
      </c>
      <c r="S44" s="198">
        <f>S43</f>
        <v>16</v>
      </c>
      <c r="T44" s="217" t="s">
        <v>4820</v>
      </c>
      <c r="U44" s="217">
        <v>5395.9</v>
      </c>
      <c r="V44" s="217">
        <f>U44*(1+$N$95+$Q$15*S44/36500)</f>
        <v>5522.5632087671229</v>
      </c>
      <c r="W44" s="32">
        <f t="shared" si="12"/>
        <v>5633.0144729424655</v>
      </c>
      <c r="X44" s="32">
        <f t="shared" si="13"/>
        <v>5743.4657371178082</v>
      </c>
      <c r="Y44" s="115" t="s">
        <v>25</v>
      </c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4052</v>
      </c>
      <c r="AJ44" s="113">
        <v>110000</v>
      </c>
      <c r="AK44" s="99">
        <v>1</v>
      </c>
      <c r="AL44" s="99">
        <f t="shared" si="9"/>
        <v>262</v>
      </c>
      <c r="AM44" s="113">
        <f t="shared" si="10"/>
        <v>28820000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4"/>
        <v>4919648.5409651063</v>
      </c>
      <c r="D45" s="3">
        <f t="shared" si="5"/>
        <v>3996372.0339620672</v>
      </c>
      <c r="E45" s="3">
        <f t="shared" si="11"/>
        <v>446285309.07656044</v>
      </c>
      <c r="F45" s="3"/>
      <c r="G45" s="11"/>
      <c r="H45" s="11"/>
      <c r="K45" s="168"/>
      <c r="L45" s="117"/>
      <c r="M45" s="168" t="s">
        <v>4842</v>
      </c>
      <c r="N45" s="113">
        <v>-47000000</v>
      </c>
      <c r="O45" s="96"/>
      <c r="P45" s="96"/>
      <c r="Q45" s="169">
        <v>38533873</v>
      </c>
      <c r="R45" s="217" t="s">
        <v>4814</v>
      </c>
      <c r="S45" s="198">
        <f>S44</f>
        <v>16</v>
      </c>
      <c r="T45" s="217" t="s">
        <v>4821</v>
      </c>
      <c r="U45" s="217">
        <v>3355.8</v>
      </c>
      <c r="V45" s="217">
        <f>U45*(1+$N$95+$Q$15*S45/36500)</f>
        <v>3434.5739572602743</v>
      </c>
      <c r="W45" s="32">
        <f t="shared" si="12"/>
        <v>3503.2654364054797</v>
      </c>
      <c r="X45" s="32">
        <f t="shared" si="13"/>
        <v>3571.9569155506852</v>
      </c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3801</v>
      </c>
      <c r="AJ45" s="113">
        <v>380000</v>
      </c>
      <c r="AK45" s="99">
        <v>7</v>
      </c>
      <c r="AL45" s="99">
        <f t="shared" si="9"/>
        <v>261</v>
      </c>
      <c r="AM45" s="113">
        <f t="shared" si="10"/>
        <v>99180000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4"/>
        <v>4968845.0263747573</v>
      </c>
      <c r="D46" s="3">
        <f t="shared" si="5"/>
        <v>4036335.7543016877</v>
      </c>
      <c r="E46" s="3">
        <f t="shared" si="11"/>
        <v>456143524.53016472</v>
      </c>
      <c r="F46" s="3"/>
      <c r="G46" s="11"/>
      <c r="H46" s="11"/>
      <c r="K46" s="99"/>
      <c r="L46" s="117"/>
      <c r="M46" s="168"/>
      <c r="N46" s="113"/>
      <c r="O46" s="96" t="s">
        <v>25</v>
      </c>
      <c r="P46" s="96" t="s">
        <v>25</v>
      </c>
      <c r="Q46" s="169">
        <v>441599</v>
      </c>
      <c r="R46" s="217" t="s">
        <v>4914</v>
      </c>
      <c r="S46" s="198">
        <f>S45-16</f>
        <v>0</v>
      </c>
      <c r="T46" s="217" t="s">
        <v>4917</v>
      </c>
      <c r="U46" s="217">
        <v>220</v>
      </c>
      <c r="V46" s="217">
        <f>U46*(1+$N$95+$Q$15*S46/36500)</f>
        <v>222.46400000000003</v>
      </c>
      <c r="W46" s="32">
        <f t="shared" si="12"/>
        <v>226.91328000000004</v>
      </c>
      <c r="X46" s="32">
        <f t="shared" si="13"/>
        <v>231.36256000000003</v>
      </c>
      <c r="Y46" s="115" t="s">
        <v>25</v>
      </c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3887</v>
      </c>
      <c r="AJ46" s="113">
        <v>450000</v>
      </c>
      <c r="AK46" s="99">
        <v>6</v>
      </c>
      <c r="AL46" s="99">
        <f t="shared" si="9"/>
        <v>254</v>
      </c>
      <c r="AM46" s="113">
        <f t="shared" si="10"/>
        <v>114300000</v>
      </c>
      <c r="AN46" s="99"/>
      <c r="AQ46" s="96"/>
      <c r="AR46" s="96"/>
      <c r="AS46" s="96"/>
      <c r="AV46" s="96"/>
    </row>
    <row r="47" spans="1:54">
      <c r="A47" s="62">
        <v>99</v>
      </c>
      <c r="B47" s="11">
        <v>45</v>
      </c>
      <c r="C47" s="50">
        <f t="shared" si="4"/>
        <v>5018533.4766385052</v>
      </c>
      <c r="D47" s="3">
        <f t="shared" si="5"/>
        <v>4076699.1118447045</v>
      </c>
      <c r="E47" s="3">
        <f t="shared" si="11"/>
        <v>466208229.38556182</v>
      </c>
      <c r="F47" s="3"/>
      <c r="G47" s="11"/>
      <c r="H47" s="11"/>
      <c r="K47" s="99" t="s">
        <v>4614</v>
      </c>
      <c r="L47" s="117">
        <v>331075</v>
      </c>
      <c r="M47" s="168" t="s">
        <v>4459</v>
      </c>
      <c r="N47" s="113">
        <v>2416313</v>
      </c>
      <c r="P47" t="s">
        <v>25</v>
      </c>
      <c r="Q47" s="169">
        <v>1018599</v>
      </c>
      <c r="R47" s="217" t="s">
        <v>4937</v>
      </c>
      <c r="S47" s="198">
        <f>S46-3</f>
        <v>-3</v>
      </c>
      <c r="T47" s="217" t="s">
        <v>4939</v>
      </c>
      <c r="U47" s="217">
        <v>4155.3</v>
      </c>
      <c r="V47" s="217">
        <f>U47*(1+$N$95+$Q$15*S47/36500)</f>
        <v>4192.2764778082201</v>
      </c>
      <c r="W47" s="32">
        <f t="shared" si="12"/>
        <v>4276.1220073643844</v>
      </c>
      <c r="X47" s="32">
        <f t="shared" si="13"/>
        <v>4359.9675369205488</v>
      </c>
      <c r="Y47" s="122" t="s">
        <v>25</v>
      </c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3911</v>
      </c>
      <c r="AJ47" s="113">
        <v>2800000</v>
      </c>
      <c r="AK47" s="99">
        <v>1</v>
      </c>
      <c r="AL47" s="99">
        <f t="shared" si="9"/>
        <v>248</v>
      </c>
      <c r="AM47" s="113">
        <f t="shared" si="10"/>
        <v>694400000</v>
      </c>
      <c r="AN47" s="99"/>
      <c r="AQ47" s="96"/>
      <c r="AR47" s="96"/>
      <c r="AS47" s="96"/>
    </row>
    <row r="48" spans="1:54">
      <c r="A48" s="64">
        <v>99</v>
      </c>
      <c r="B48" s="64">
        <v>46</v>
      </c>
      <c r="C48" s="65">
        <f t="shared" si="4"/>
        <v>5068718.8114048904</v>
      </c>
      <c r="D48" s="65">
        <f t="shared" si="5"/>
        <v>4117466.1029631514</v>
      </c>
      <c r="E48" s="65">
        <f t="shared" si="11"/>
        <v>476483646.68171477</v>
      </c>
      <c r="F48" s="3"/>
      <c r="G48" s="11"/>
      <c r="H48" s="11" t="s">
        <v>611</v>
      </c>
      <c r="K48" s="56"/>
      <c r="L48" s="117"/>
      <c r="M48" s="168"/>
      <c r="N48" s="113"/>
      <c r="O48" s="99"/>
      <c r="P48" s="99"/>
      <c r="Q48" s="169">
        <v>1001132</v>
      </c>
      <c r="R48" s="217" t="s">
        <v>4937</v>
      </c>
      <c r="S48" s="198">
        <f>S47</f>
        <v>-3</v>
      </c>
      <c r="T48" s="217" t="s">
        <v>4940</v>
      </c>
      <c r="U48" s="217">
        <v>113.1</v>
      </c>
      <c r="V48" s="217">
        <f>U48*(1+$N$95+$Q$15*S48/36500)</f>
        <v>114.10643506849316</v>
      </c>
      <c r="W48" s="32">
        <f t="shared" si="12"/>
        <v>116.38856376986303</v>
      </c>
      <c r="X48" s="32">
        <f t="shared" si="13"/>
        <v>118.67069247123288</v>
      </c>
      <c r="Y48" s="115" t="s">
        <v>25</v>
      </c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3912</v>
      </c>
      <c r="AJ48" s="113">
        <v>-1500000</v>
      </c>
      <c r="AK48" s="99">
        <v>0</v>
      </c>
      <c r="AL48" s="99">
        <f t="shared" si="9"/>
        <v>247</v>
      </c>
      <c r="AM48" s="113">
        <f t="shared" si="10"/>
        <v>-370500000</v>
      </c>
      <c r="AN48" s="99"/>
      <c r="AQ48" s="96"/>
      <c r="AR48" s="96"/>
      <c r="AS48" s="96"/>
    </row>
    <row r="49" spans="1:45">
      <c r="A49" s="62">
        <v>99</v>
      </c>
      <c r="B49" s="11">
        <v>47</v>
      </c>
      <c r="C49" s="3">
        <f t="shared" si="4"/>
        <v>5119405.9995189393</v>
      </c>
      <c r="D49" s="3">
        <f t="shared" si="5"/>
        <v>4158640.7639927831</v>
      </c>
      <c r="E49" s="3">
        <f t="shared" si="11"/>
        <v>486974084.8508752</v>
      </c>
      <c r="F49" s="3"/>
      <c r="G49" s="11"/>
      <c r="H49" s="11"/>
      <c r="K49" s="56"/>
      <c r="L49" s="117"/>
      <c r="M49" s="208" t="s">
        <v>4391</v>
      </c>
      <c r="N49" s="113">
        <f>O49*P49</f>
        <v>90648320</v>
      </c>
      <c r="O49" s="99">
        <v>26800</v>
      </c>
      <c r="P49" s="99">
        <v>3382.4</v>
      </c>
      <c r="Q49" s="169">
        <v>62110</v>
      </c>
      <c r="R49" s="217" t="s">
        <v>4937</v>
      </c>
      <c r="S49" s="198">
        <f>S48</f>
        <v>-3</v>
      </c>
      <c r="T49" s="217" t="s">
        <v>4942</v>
      </c>
      <c r="U49" s="217">
        <v>270</v>
      </c>
      <c r="V49" s="217">
        <f>U49*(1+$N$95+$Q$15*S49/36500)</f>
        <v>272.40263013698632</v>
      </c>
      <c r="W49" s="32">
        <f t="shared" si="12"/>
        <v>277.85068273972604</v>
      </c>
      <c r="X49" s="32">
        <f t="shared" si="13"/>
        <v>283.29873534246576</v>
      </c>
      <c r="AC49" t="s">
        <v>25</v>
      </c>
      <c r="AD49" t="s">
        <v>25</v>
      </c>
      <c r="AF49" s="115"/>
      <c r="AH49" s="99">
        <v>30</v>
      </c>
      <c r="AI49" s="113" t="s">
        <v>3912</v>
      </c>
      <c r="AJ49" s="113">
        <v>3050000</v>
      </c>
      <c r="AK49" s="99">
        <v>3</v>
      </c>
      <c r="AL49" s="99">
        <f>AL50+AK49</f>
        <v>247</v>
      </c>
      <c r="AM49" s="113">
        <f t="shared" si="10"/>
        <v>753350000</v>
      </c>
      <c r="AN49" s="99"/>
      <c r="AQ49" s="96"/>
      <c r="AR49" s="96"/>
      <c r="AS49" s="96"/>
    </row>
    <row r="50" spans="1:45">
      <c r="A50" s="62">
        <v>99</v>
      </c>
      <c r="B50" s="11">
        <v>48</v>
      </c>
      <c r="C50" s="51">
        <f t="shared" si="4"/>
        <v>5170600.0595141286</v>
      </c>
      <c r="D50" s="51">
        <f t="shared" si="5"/>
        <v>4200227.1716327108</v>
      </c>
      <c r="E50" s="52">
        <f t="shared" si="11"/>
        <v>497683939.43577409</v>
      </c>
      <c r="F50" s="51"/>
      <c r="G50" s="11"/>
      <c r="H50" s="11"/>
      <c r="K50" s="99"/>
      <c r="L50" s="117"/>
      <c r="M50" s="21" t="s">
        <v>4590</v>
      </c>
      <c r="N50" s="117">
        <f t="shared" ref="N50:N64" si="14">O50*P50</f>
        <v>731000</v>
      </c>
      <c r="O50" s="69">
        <v>2000</v>
      </c>
      <c r="P50" s="69">
        <v>365.5</v>
      </c>
      <c r="Q50" s="169"/>
      <c r="R50" s="168"/>
      <c r="S50" s="168"/>
      <c r="T50" s="168"/>
      <c r="U50" s="168"/>
      <c r="V50" s="217">
        <f>U50*(1+$N$95+$Q$15*S50/36500)</f>
        <v>0</v>
      </c>
      <c r="W50" s="32">
        <f t="shared" si="12"/>
        <v>0</v>
      </c>
      <c r="X50" s="32">
        <f t="shared" si="13"/>
        <v>0</v>
      </c>
      <c r="AA50" s="96"/>
      <c r="AH50" s="99">
        <v>31</v>
      </c>
      <c r="AI50" s="113" t="s">
        <v>3936</v>
      </c>
      <c r="AJ50" s="113">
        <v>-8299612</v>
      </c>
      <c r="AK50" s="99">
        <v>2</v>
      </c>
      <c r="AL50" s="99">
        <f t="shared" si="9"/>
        <v>244</v>
      </c>
      <c r="AM50" s="113">
        <f t="shared" si="10"/>
        <v>-2025105328</v>
      </c>
      <c r="AN50" s="99"/>
      <c r="AQ50" s="96"/>
      <c r="AR50" s="96"/>
      <c r="AS50" s="96"/>
    </row>
    <row r="51" spans="1:45">
      <c r="A51" s="63">
        <v>1400</v>
      </c>
      <c r="B51" s="11">
        <v>49</v>
      </c>
      <c r="C51" s="44">
        <f t="shared" si="4"/>
        <v>5222306.0601092698</v>
      </c>
      <c r="D51" s="3">
        <f t="shared" si="5"/>
        <v>4242229.4433490383</v>
      </c>
      <c r="E51" s="3">
        <f t="shared" si="11"/>
        <v>508617694.84124976</v>
      </c>
      <c r="F51" s="3"/>
      <c r="G51" s="11"/>
      <c r="H51" s="11"/>
      <c r="K51" s="99"/>
      <c r="L51" s="117"/>
      <c r="M51" s="21" t="s">
        <v>4543</v>
      </c>
      <c r="N51" s="117">
        <f t="shared" si="14"/>
        <v>0</v>
      </c>
      <c r="O51" s="69">
        <v>0</v>
      </c>
      <c r="P51" s="69">
        <v>113.3</v>
      </c>
      <c r="Q51" s="169">
        <f>SUM(N21:N28)-SUM(Q20:Q50)</f>
        <v>13126131.800000012</v>
      </c>
      <c r="R51" s="168"/>
      <c r="S51" s="168" t="s">
        <v>25</v>
      </c>
      <c r="T51" s="168"/>
      <c r="U51" s="168"/>
      <c r="V51" s="168"/>
      <c r="W51" s="32"/>
      <c r="X51" s="32"/>
      <c r="AA51" s="96"/>
      <c r="AH51" s="99">
        <v>32</v>
      </c>
      <c r="AI51" s="113" t="s">
        <v>3931</v>
      </c>
      <c r="AJ51" s="113">
        <v>5000000</v>
      </c>
      <c r="AK51" s="99">
        <v>14</v>
      </c>
      <c r="AL51" s="99">
        <f t="shared" si="9"/>
        <v>242</v>
      </c>
      <c r="AM51" s="113">
        <f t="shared" si="10"/>
        <v>1210000000</v>
      </c>
      <c r="AN51" s="99"/>
    </row>
    <row r="52" spans="1:45">
      <c r="A52" s="63">
        <v>1400</v>
      </c>
      <c r="B52" s="11">
        <v>50</v>
      </c>
      <c r="C52" s="44">
        <f t="shared" si="4"/>
        <v>5274529.1207103627</v>
      </c>
      <c r="D52" s="3">
        <f t="shared" si="5"/>
        <v>4284651.7377825286</v>
      </c>
      <c r="E52" s="3">
        <f t="shared" si="11"/>
        <v>519779926.12100261</v>
      </c>
      <c r="F52" s="3"/>
      <c r="G52" s="11"/>
      <c r="H52" s="11"/>
      <c r="K52" s="99"/>
      <c r="L52" s="117"/>
      <c r="M52" s="21" t="s">
        <v>4916</v>
      </c>
      <c r="N52" s="117">
        <f t="shared" si="14"/>
        <v>461538</v>
      </c>
      <c r="O52" s="69">
        <v>1998</v>
      </c>
      <c r="P52" s="69">
        <v>231</v>
      </c>
      <c r="R52" s="115"/>
      <c r="S52" s="115" t="s">
        <v>25</v>
      </c>
      <c r="T52" s="115"/>
      <c r="U52" s="115"/>
      <c r="V52" s="115"/>
      <c r="W52" s="195"/>
      <c r="X52" s="195"/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9"/>
        <v>228</v>
      </c>
      <c r="AM52" s="113">
        <f t="shared" si="10"/>
        <v>-20520000</v>
      </c>
      <c r="AN52" s="99"/>
    </row>
    <row r="53" spans="1:45">
      <c r="A53" s="63">
        <v>1400</v>
      </c>
      <c r="B53" s="11">
        <v>51</v>
      </c>
      <c r="C53" s="44">
        <f t="shared" si="4"/>
        <v>5327274.4119174667</v>
      </c>
      <c r="D53" s="3">
        <f t="shared" si="5"/>
        <v>4327498.2551603541</v>
      </c>
      <c r="E53" s="3">
        <f t="shared" si="11"/>
        <v>531175300.80017978</v>
      </c>
      <c r="F53" s="3"/>
      <c r="G53" s="11"/>
      <c r="H53" s="11"/>
      <c r="K53" s="99"/>
      <c r="L53" s="117"/>
      <c r="M53" s="21" t="s">
        <v>4576</v>
      </c>
      <c r="N53" s="117">
        <f t="shared" si="14"/>
        <v>1091700</v>
      </c>
      <c r="O53" s="69">
        <v>1000</v>
      </c>
      <c r="P53" s="69">
        <v>1091.7</v>
      </c>
      <c r="Q53" s="96"/>
      <c r="R53" s="115"/>
      <c r="S53" s="115"/>
      <c r="T53" s="115" t="s">
        <v>25</v>
      </c>
      <c r="U53" s="115"/>
      <c r="V53" s="115"/>
      <c r="W53" s="195"/>
      <c r="X53" s="195"/>
      <c r="AH53" s="99">
        <v>34</v>
      </c>
      <c r="AI53" s="113" t="s">
        <v>4053</v>
      </c>
      <c r="AJ53" s="113">
        <v>5600000</v>
      </c>
      <c r="AK53" s="99">
        <v>4</v>
      </c>
      <c r="AL53" s="99">
        <f t="shared" si="9"/>
        <v>227</v>
      </c>
      <c r="AM53" s="113">
        <f t="shared" si="10"/>
        <v>1271200000</v>
      </c>
      <c r="AN53" s="99"/>
    </row>
    <row r="54" spans="1:45">
      <c r="A54" s="63">
        <v>1400</v>
      </c>
      <c r="B54" s="11">
        <v>52</v>
      </c>
      <c r="C54" s="49">
        <f t="shared" si="4"/>
        <v>5380547.1560366414</v>
      </c>
      <c r="D54" s="3">
        <f t="shared" si="5"/>
        <v>4370773.2377119577</v>
      </c>
      <c r="E54" s="3">
        <f t="shared" si="11"/>
        <v>542808580.73450804</v>
      </c>
      <c r="F54" s="3"/>
      <c r="G54" s="11"/>
      <c r="H54" s="11"/>
      <c r="K54" s="99" t="s">
        <v>25</v>
      </c>
      <c r="L54" s="117"/>
      <c r="M54" s="19" t="s">
        <v>4395</v>
      </c>
      <c r="N54" s="113">
        <f t="shared" si="14"/>
        <v>156565232</v>
      </c>
      <c r="O54" s="69">
        <v>28844</v>
      </c>
      <c r="P54" s="69">
        <v>5428</v>
      </c>
      <c r="Q54" s="168" t="s">
        <v>657</v>
      </c>
      <c r="R54" s="168"/>
      <c r="S54" s="168"/>
      <c r="T54" s="168"/>
      <c r="U54" s="168"/>
      <c r="V54" s="168"/>
      <c r="W54" s="32"/>
      <c r="X54" s="32"/>
      <c r="Y54" t="s">
        <v>25</v>
      </c>
      <c r="AH54" s="99">
        <v>35</v>
      </c>
      <c r="AI54" s="113" t="s">
        <v>3981</v>
      </c>
      <c r="AJ54" s="113">
        <v>750000</v>
      </c>
      <c r="AK54" s="99">
        <v>2</v>
      </c>
      <c r="AL54" s="99">
        <f t="shared" si="9"/>
        <v>223</v>
      </c>
      <c r="AM54" s="113">
        <f t="shared" si="10"/>
        <v>167250000</v>
      </c>
      <c r="AN54" s="99"/>
    </row>
    <row r="55" spans="1:45" ht="30">
      <c r="A55" s="63">
        <v>1400</v>
      </c>
      <c r="B55" s="11">
        <v>53</v>
      </c>
      <c r="C55" s="49">
        <f t="shared" si="4"/>
        <v>5434352.6275970079</v>
      </c>
      <c r="D55" s="3">
        <f t="shared" si="5"/>
        <v>4414480.970089077</v>
      </c>
      <c r="E55" s="3">
        <f t="shared" si="11"/>
        <v>554684624.00670612</v>
      </c>
      <c r="F55" s="3"/>
      <c r="G55" s="11"/>
      <c r="H55" s="11"/>
      <c r="K55" s="99"/>
      <c r="L55" s="117"/>
      <c r="M55" s="19" t="s">
        <v>4410</v>
      </c>
      <c r="N55" s="117">
        <f t="shared" si="14"/>
        <v>62519828</v>
      </c>
      <c r="O55" s="69">
        <v>106580</v>
      </c>
      <c r="P55" s="69">
        <v>586.6</v>
      </c>
      <c r="Q55" s="168" t="s">
        <v>267</v>
      </c>
      <c r="R55" s="168" t="s">
        <v>180</v>
      </c>
      <c r="S55" s="168" t="s">
        <v>183</v>
      </c>
      <c r="T55" s="168" t="s">
        <v>8</v>
      </c>
      <c r="U55" s="168" t="s">
        <v>4363</v>
      </c>
      <c r="V55" s="73" t="s">
        <v>4365</v>
      </c>
      <c r="W55" s="32">
        <v>2</v>
      </c>
      <c r="X55" s="32">
        <v>4</v>
      </c>
      <c r="AH55" s="171">
        <v>36</v>
      </c>
      <c r="AI55" s="170" t="s">
        <v>3991</v>
      </c>
      <c r="AJ55" s="170">
        <v>-4242000</v>
      </c>
      <c r="AK55" s="171">
        <v>2</v>
      </c>
      <c r="AL55" s="171">
        <f t="shared" si="9"/>
        <v>221</v>
      </c>
      <c r="AM55" s="170">
        <f t="shared" si="10"/>
        <v>-937482000</v>
      </c>
      <c r="AN55" s="171" t="s">
        <v>4062</v>
      </c>
    </row>
    <row r="56" spans="1:45">
      <c r="A56" s="63">
        <v>1400</v>
      </c>
      <c r="B56" s="11">
        <v>54</v>
      </c>
      <c r="C56" s="49">
        <f t="shared" si="4"/>
        <v>5488696.1538729779</v>
      </c>
      <c r="D56" s="3">
        <f t="shared" si="5"/>
        <v>4458625.7797899675</v>
      </c>
      <c r="E56" s="3">
        <f t="shared" si="11"/>
        <v>566808386.86092329</v>
      </c>
      <c r="F56" s="3"/>
      <c r="G56" s="11"/>
      <c r="H56" s="11"/>
      <c r="K56" s="99"/>
      <c r="L56" s="117"/>
      <c r="M56" s="19" t="s">
        <v>4542</v>
      </c>
      <c r="N56" s="117">
        <f t="shared" si="14"/>
        <v>4518817.5</v>
      </c>
      <c r="O56" s="69">
        <v>1083</v>
      </c>
      <c r="P56" s="69">
        <v>4172.5</v>
      </c>
      <c r="Q56" s="168">
        <v>0</v>
      </c>
      <c r="R56" s="168" t="s">
        <v>4172</v>
      </c>
      <c r="S56" s="168">
        <f>S76</f>
        <v>171</v>
      </c>
      <c r="T56" s="168"/>
      <c r="U56" s="168"/>
      <c r="V56" s="73"/>
      <c r="W56" s="32"/>
      <c r="X56" s="32"/>
      <c r="Y56" s="96"/>
      <c r="AH56" s="99">
        <v>37</v>
      </c>
      <c r="AI56" s="113" t="s">
        <v>3991</v>
      </c>
      <c r="AJ56" s="113">
        <v>4100000</v>
      </c>
      <c r="AK56" s="99">
        <v>0</v>
      </c>
      <c r="AL56" s="99">
        <f t="shared" si="9"/>
        <v>219</v>
      </c>
      <c r="AM56" s="113">
        <f t="shared" si="10"/>
        <v>897900000</v>
      </c>
      <c r="AN56" s="99"/>
    </row>
    <row r="57" spans="1:45">
      <c r="A57" s="63">
        <v>1400</v>
      </c>
      <c r="B57" s="11">
        <v>55</v>
      </c>
      <c r="C57" s="50">
        <f t="shared" si="4"/>
        <v>5543583.1154117081</v>
      </c>
      <c r="D57" s="3">
        <f t="shared" si="5"/>
        <v>4503212.0375878671</v>
      </c>
      <c r="E57" s="3">
        <f t="shared" si="11"/>
        <v>579184925.67596567</v>
      </c>
      <c r="F57" s="3"/>
      <c r="G57" s="11"/>
      <c r="H57" s="11"/>
      <c r="K57" s="99" t="s">
        <v>25</v>
      </c>
      <c r="L57" s="117"/>
      <c r="M57" s="21" t="s">
        <v>4541</v>
      </c>
      <c r="N57" s="117">
        <f t="shared" si="14"/>
        <v>14891256</v>
      </c>
      <c r="O57" s="69">
        <v>2913</v>
      </c>
      <c r="P57" s="69">
        <v>5112</v>
      </c>
      <c r="Q57" s="169">
        <v>863944</v>
      </c>
      <c r="R57" s="168" t="s">
        <v>4438</v>
      </c>
      <c r="S57" s="168">
        <f>S56-62</f>
        <v>109</v>
      </c>
      <c r="T57" s="191" t="s">
        <v>4513</v>
      </c>
      <c r="U57" s="168">
        <v>184.6</v>
      </c>
      <c r="V57" s="168">
        <f>U57*(1+$N$95+$Q$15*S57/36500)</f>
        <v>202.10311452054796</v>
      </c>
      <c r="W57" s="32">
        <f t="shared" ref="W57:W67" si="15">V57*(1+$W$19/100)</f>
        <v>206.14517681095893</v>
      </c>
      <c r="X57" s="32">
        <f t="shared" ref="X57:X67" si="16">V57*(1+$X$19/100)</f>
        <v>210.1872391013699</v>
      </c>
      <c r="AH57" s="99">
        <v>38</v>
      </c>
      <c r="AI57" s="113" t="s">
        <v>3997</v>
      </c>
      <c r="AJ57" s="113">
        <v>4100000</v>
      </c>
      <c r="AK57" s="99">
        <v>1</v>
      </c>
      <c r="AL57" s="99">
        <f t="shared" si="9"/>
        <v>219</v>
      </c>
      <c r="AM57" s="113">
        <f t="shared" si="10"/>
        <v>897900000</v>
      </c>
      <c r="AN57" s="99"/>
    </row>
    <row r="58" spans="1:45">
      <c r="A58" s="63">
        <v>1400</v>
      </c>
      <c r="B58" s="11">
        <v>56</v>
      </c>
      <c r="C58" s="50">
        <f t="shared" si="4"/>
        <v>5599018.9465658255</v>
      </c>
      <c r="D58" s="3">
        <f t="shared" si="5"/>
        <v>4548244.1579637462</v>
      </c>
      <c r="E58" s="3">
        <f t="shared" si="11"/>
        <v>591819398.97808707</v>
      </c>
      <c r="F58" s="3"/>
      <c r="G58" s="11"/>
      <c r="H58" s="11"/>
      <c r="K58" s="99" t="s">
        <v>25</v>
      </c>
      <c r="L58" s="117"/>
      <c r="M58" s="21" t="s">
        <v>4623</v>
      </c>
      <c r="N58" s="117">
        <f t="shared" si="14"/>
        <v>4107540</v>
      </c>
      <c r="O58" s="69">
        <v>5100</v>
      </c>
      <c r="P58" s="69">
        <v>805.4</v>
      </c>
      <c r="Q58" s="169">
        <v>1692313</v>
      </c>
      <c r="R58" s="168" t="s">
        <v>4516</v>
      </c>
      <c r="S58" s="198">
        <f>S57-21</f>
        <v>88</v>
      </c>
      <c r="T58" s="190" t="s">
        <v>4517</v>
      </c>
      <c r="U58" s="168">
        <v>168.5</v>
      </c>
      <c r="V58" s="168">
        <f>U58*(1+$N$95+$Q$15*S58/36500)</f>
        <v>181.76210410958907</v>
      </c>
      <c r="W58" s="32">
        <f t="shared" si="15"/>
        <v>185.39734619178085</v>
      </c>
      <c r="X58" s="32">
        <f t="shared" si="16"/>
        <v>189.03258827397264</v>
      </c>
      <c r="AH58" s="99">
        <v>39</v>
      </c>
      <c r="AI58" s="113" t="s">
        <v>4006</v>
      </c>
      <c r="AJ58" s="113">
        <v>790000</v>
      </c>
      <c r="AK58" s="99">
        <v>15</v>
      </c>
      <c r="AL58" s="99">
        <f t="shared" si="9"/>
        <v>218</v>
      </c>
      <c r="AM58" s="113">
        <f t="shared" si="10"/>
        <v>172220000</v>
      </c>
      <c r="AN58" s="99"/>
    </row>
    <row r="59" spans="1:45">
      <c r="A59" s="63">
        <v>1400</v>
      </c>
      <c r="B59" s="11">
        <v>57</v>
      </c>
      <c r="C59" s="50">
        <f t="shared" si="4"/>
        <v>5655009.1360314842</v>
      </c>
      <c r="D59" s="3">
        <f t="shared" si="5"/>
        <v>4593726.5995433833</v>
      </c>
      <c r="E59" s="3">
        <f t="shared" si="11"/>
        <v>604717069.49413705</v>
      </c>
      <c r="F59" s="3"/>
      <c r="G59" s="11"/>
      <c r="H59" s="11"/>
      <c r="K59" s="99"/>
      <c r="L59" s="117"/>
      <c r="M59" s="21" t="s">
        <v>4296</v>
      </c>
      <c r="N59" s="117">
        <f>O59*P59</f>
        <v>2180265.2000000002</v>
      </c>
      <c r="O59" s="69">
        <v>6997</v>
      </c>
      <c r="P59" s="69">
        <v>311.60000000000002</v>
      </c>
      <c r="Q59" s="169">
        <v>101153</v>
      </c>
      <c r="R59" s="168" t="s">
        <v>4519</v>
      </c>
      <c r="S59" s="198">
        <f>S58-1</f>
        <v>87</v>
      </c>
      <c r="T59" s="190" t="s">
        <v>4521</v>
      </c>
      <c r="U59" s="168">
        <v>166.7</v>
      </c>
      <c r="V59" s="168">
        <f>U59*(1+$N$95+$Q$15*S59/36500)</f>
        <v>179.69255232876711</v>
      </c>
      <c r="W59" s="32">
        <f t="shared" si="15"/>
        <v>183.28640337534245</v>
      </c>
      <c r="X59" s="32">
        <f t="shared" si="16"/>
        <v>186.88025442191781</v>
      </c>
      <c r="Z59" s="96"/>
      <c r="AA59" s="96"/>
      <c r="AB59" s="96"/>
      <c r="AC59" s="96"/>
      <c r="AH59" s="171">
        <v>40</v>
      </c>
      <c r="AI59" s="170" t="s">
        <v>4037</v>
      </c>
      <c r="AJ59" s="170">
        <v>-3865000</v>
      </c>
      <c r="AK59" s="171">
        <v>6</v>
      </c>
      <c r="AL59" s="171">
        <f t="shared" si="9"/>
        <v>203</v>
      </c>
      <c r="AM59" s="172">
        <f t="shared" si="10"/>
        <v>-784595000</v>
      </c>
      <c r="AN59" s="171" t="s">
        <v>4063</v>
      </c>
    </row>
    <row r="60" spans="1:45">
      <c r="A60" s="63">
        <v>1400</v>
      </c>
      <c r="B60" s="11">
        <v>58</v>
      </c>
      <c r="C60" s="3">
        <f t="shared" si="4"/>
        <v>5711559.227391799</v>
      </c>
      <c r="D60" s="3">
        <f t="shared" si="5"/>
        <v>4639663.8655388169</v>
      </c>
      <c r="E60" s="3">
        <f t="shared" si="11"/>
        <v>617883306.24587286</v>
      </c>
      <c r="F60" s="3"/>
      <c r="G60" s="11"/>
      <c r="H60" s="11"/>
      <c r="K60" s="99"/>
      <c r="L60" s="117"/>
      <c r="M60" s="19" t="s">
        <v>4594</v>
      </c>
      <c r="N60" s="113">
        <f t="shared" si="14"/>
        <v>208936</v>
      </c>
      <c r="O60" s="69">
        <v>1148</v>
      </c>
      <c r="P60" s="69">
        <v>182</v>
      </c>
      <c r="Q60" s="169">
        <v>183105</v>
      </c>
      <c r="R60" s="168" t="s">
        <v>4231</v>
      </c>
      <c r="S60" s="198">
        <f>S59-1</f>
        <v>86</v>
      </c>
      <c r="T60" s="190" t="s">
        <v>4525</v>
      </c>
      <c r="U60" s="168">
        <v>166.6</v>
      </c>
      <c r="V60" s="168">
        <f>U60*(1+$N$95+$Q$15*S60/36500)</f>
        <v>179.45695561643836</v>
      </c>
      <c r="W60" s="32">
        <f t="shared" si="15"/>
        <v>183.04609472876714</v>
      </c>
      <c r="X60" s="32">
        <f t="shared" si="16"/>
        <v>186.6352338410959</v>
      </c>
      <c r="Y60" t="s">
        <v>25</v>
      </c>
      <c r="Z60" s="96"/>
      <c r="AA60" s="96"/>
      <c r="AB60" s="96"/>
      <c r="AC60" s="96"/>
      <c r="AH60" s="20">
        <v>41</v>
      </c>
      <c r="AI60" s="117" t="s">
        <v>4067</v>
      </c>
      <c r="AJ60" s="117">
        <v>18800000</v>
      </c>
      <c r="AK60" s="20">
        <v>3</v>
      </c>
      <c r="AL60" s="99">
        <f t="shared" si="9"/>
        <v>197</v>
      </c>
      <c r="AM60" s="113">
        <f t="shared" si="10"/>
        <v>3703600000</v>
      </c>
      <c r="AN60" s="20"/>
    </row>
    <row r="61" spans="1:45">
      <c r="A61" s="63">
        <v>1400</v>
      </c>
      <c r="B61" s="11">
        <v>59</v>
      </c>
      <c r="C61" s="3">
        <f t="shared" si="4"/>
        <v>5768674.819665717</v>
      </c>
      <c r="D61" s="3">
        <f t="shared" si="5"/>
        <v>4686060.5041942047</v>
      </c>
      <c r="E61" s="3">
        <f t="shared" si="11"/>
        <v>631323586.68626177</v>
      </c>
      <c r="F61" s="3"/>
      <c r="G61" s="11"/>
      <c r="H61" s="11"/>
      <c r="K61" s="99"/>
      <c r="L61" s="117"/>
      <c r="M61" s="21" t="s">
        <v>4640</v>
      </c>
      <c r="N61" s="117">
        <f t="shared" si="14"/>
        <v>1271050</v>
      </c>
      <c r="O61" s="69">
        <v>5500</v>
      </c>
      <c r="P61" s="69">
        <v>231.1</v>
      </c>
      <c r="Q61" s="169">
        <v>168846</v>
      </c>
      <c r="R61" s="168" t="s">
        <v>3691</v>
      </c>
      <c r="S61" s="198">
        <f>S60-30</f>
        <v>56</v>
      </c>
      <c r="T61" s="190" t="s">
        <v>4631</v>
      </c>
      <c r="U61" s="168">
        <v>172.2</v>
      </c>
      <c r="V61" s="168">
        <f>U61*(1+$N$95+$Q$15*S61/36500)</f>
        <v>181.52616328767124</v>
      </c>
      <c r="W61" s="32">
        <f t="shared" si="15"/>
        <v>185.15668655342466</v>
      </c>
      <c r="X61" s="32">
        <f t="shared" si="16"/>
        <v>188.78720981917809</v>
      </c>
      <c r="Z61" s="96"/>
      <c r="AA61" s="96"/>
      <c r="AB61" s="96"/>
      <c r="AC61" s="96"/>
      <c r="AH61" s="20">
        <v>42</v>
      </c>
      <c r="AI61" s="117" t="s">
        <v>4084</v>
      </c>
      <c r="AJ61" s="117">
        <v>500000</v>
      </c>
      <c r="AK61" s="20">
        <v>1</v>
      </c>
      <c r="AL61" s="99">
        <f t="shared" si="9"/>
        <v>194</v>
      </c>
      <c r="AM61" s="113">
        <f t="shared" si="10"/>
        <v>97000000</v>
      </c>
      <c r="AN61" s="20"/>
    </row>
    <row r="62" spans="1:45">
      <c r="A62" s="63">
        <v>1400</v>
      </c>
      <c r="B62" s="11">
        <v>60</v>
      </c>
      <c r="C62" s="3">
        <f t="shared" si="4"/>
        <v>5826361.5678623738</v>
      </c>
      <c r="D62" s="3">
        <f t="shared" si="5"/>
        <v>4732921.1092361463</v>
      </c>
      <c r="E62" s="46">
        <f t="shared" si="11"/>
        <v>645043498.87861323</v>
      </c>
      <c r="F62" s="3"/>
      <c r="G62" s="11"/>
      <c r="H62" s="11"/>
      <c r="K62" s="56"/>
      <c r="L62" s="117"/>
      <c r="M62" s="19" t="s">
        <v>4179</v>
      </c>
      <c r="N62" s="113">
        <f t="shared" si="14"/>
        <v>239235315.20000002</v>
      </c>
      <c r="O62" s="99">
        <v>1256488</v>
      </c>
      <c r="P62" s="99">
        <v>190.4</v>
      </c>
      <c r="Q62" s="169">
        <v>250962</v>
      </c>
      <c r="R62" s="168" t="s">
        <v>4675</v>
      </c>
      <c r="S62" s="198">
        <f>S61-10</f>
        <v>46</v>
      </c>
      <c r="T62" s="190" t="s">
        <v>4676</v>
      </c>
      <c r="U62" s="168">
        <v>5315.5</v>
      </c>
      <c r="V62" s="168">
        <f>U62*(1+$N$95+$Q$15*S62/36500)</f>
        <v>5562.6052164383564</v>
      </c>
      <c r="W62" s="32">
        <f t="shared" si="15"/>
        <v>5673.8573207671234</v>
      </c>
      <c r="X62" s="32">
        <f t="shared" si="16"/>
        <v>5785.1094250958904</v>
      </c>
      <c r="Z62" s="96"/>
      <c r="AA62" s="96"/>
      <c r="AB62" s="96"/>
      <c r="AC62" s="96"/>
      <c r="AH62" s="20">
        <v>43</v>
      </c>
      <c r="AI62" s="117" t="s">
        <v>4088</v>
      </c>
      <c r="AJ62" s="117">
        <v>200000</v>
      </c>
      <c r="AK62" s="20">
        <v>3</v>
      </c>
      <c r="AL62" s="99">
        <f>AL63+AK62</f>
        <v>193</v>
      </c>
      <c r="AM62" s="113">
        <f t="shared" si="10"/>
        <v>38600000</v>
      </c>
      <c r="AN62" s="20"/>
    </row>
    <row r="63" spans="1:45">
      <c r="E63" s="26"/>
      <c r="K63" s="56"/>
      <c r="L63" s="117"/>
      <c r="M63" s="19" t="s">
        <v>4941</v>
      </c>
      <c r="N63" s="113">
        <f t="shared" si="14"/>
        <v>61830</v>
      </c>
      <c r="O63" s="99">
        <v>229</v>
      </c>
      <c r="P63" s="99">
        <v>270</v>
      </c>
      <c r="Q63" s="169">
        <v>352231</v>
      </c>
      <c r="R63" s="217" t="s">
        <v>4725</v>
      </c>
      <c r="S63" s="198">
        <f>S62-7</f>
        <v>39</v>
      </c>
      <c r="T63" s="190" t="s">
        <v>4727</v>
      </c>
      <c r="U63" s="217">
        <v>502.3</v>
      </c>
      <c r="V63" s="217">
        <f>U63*(1+$N$95+$Q$15*S63/36500)</f>
        <v>522.95347506849316</v>
      </c>
      <c r="W63" s="32">
        <f t="shared" si="15"/>
        <v>533.41254456986303</v>
      </c>
      <c r="X63" s="32">
        <f t="shared" si="16"/>
        <v>543.8716140712329</v>
      </c>
      <c r="Z63" s="96"/>
      <c r="AA63" s="96"/>
      <c r="AB63" s="96"/>
      <c r="AC63" s="96"/>
      <c r="AH63" s="20">
        <v>44</v>
      </c>
      <c r="AI63" s="117" t="s">
        <v>4095</v>
      </c>
      <c r="AJ63" s="117">
        <v>1000000</v>
      </c>
      <c r="AK63" s="20">
        <v>3</v>
      </c>
      <c r="AL63" s="99">
        <f t="shared" si="9"/>
        <v>190</v>
      </c>
      <c r="AM63" s="113">
        <f t="shared" si="10"/>
        <v>190000000</v>
      </c>
      <c r="AN63" s="20"/>
    </row>
    <row r="64" spans="1:45">
      <c r="E64" s="26"/>
      <c r="K64" s="99"/>
      <c r="L64" s="117"/>
      <c r="M64" s="21" t="s">
        <v>1086</v>
      </c>
      <c r="N64" s="117">
        <f t="shared" si="14"/>
        <v>14100000</v>
      </c>
      <c r="O64" s="69">
        <v>30</v>
      </c>
      <c r="P64" s="69">
        <v>470000</v>
      </c>
      <c r="Q64" s="169">
        <v>165067</v>
      </c>
      <c r="R64" s="217" t="s">
        <v>4776</v>
      </c>
      <c r="S64" s="198">
        <f>S63-16</f>
        <v>23</v>
      </c>
      <c r="T64" s="190" t="s">
        <v>4784</v>
      </c>
      <c r="U64" s="217">
        <v>3095.9</v>
      </c>
      <c r="V64" s="217">
        <f>U64*(1+$N$95+$Q$15*S64/36500)</f>
        <v>3185.1976306849319</v>
      </c>
      <c r="W64" s="32">
        <f t="shared" si="15"/>
        <v>3248.9015832986306</v>
      </c>
      <c r="X64" s="32">
        <f t="shared" si="16"/>
        <v>3312.6055359123293</v>
      </c>
      <c r="Z64" s="96"/>
      <c r="AA64" s="96"/>
      <c r="AB64" s="96"/>
      <c r="AC64" s="96"/>
      <c r="AH64" s="20">
        <v>45</v>
      </c>
      <c r="AI64" s="117" t="s">
        <v>4107</v>
      </c>
      <c r="AJ64" s="117">
        <v>1300000</v>
      </c>
      <c r="AK64" s="20">
        <v>0</v>
      </c>
      <c r="AL64" s="99">
        <f>AL65+AK64</f>
        <v>187</v>
      </c>
      <c r="AM64" s="113">
        <f t="shared" si="10"/>
        <v>243100000</v>
      </c>
      <c r="AN64" s="20"/>
    </row>
    <row r="65" spans="1:40">
      <c r="K65" s="99"/>
      <c r="L65" s="117"/>
      <c r="M65" s="73"/>
      <c r="N65" s="117"/>
      <c r="O65" s="122"/>
      <c r="P65" s="122"/>
      <c r="Q65" s="169">
        <v>441599</v>
      </c>
      <c r="R65" s="217" t="s">
        <v>4914</v>
      </c>
      <c r="S65" s="198">
        <f>S64-23</f>
        <v>0</v>
      </c>
      <c r="T65" s="190" t="s">
        <v>4917</v>
      </c>
      <c r="U65" s="217">
        <v>220</v>
      </c>
      <c r="V65" s="217">
        <f>U65*(1+$N$95+$Q$15*S65/36500)</f>
        <v>222.46400000000003</v>
      </c>
      <c r="W65" s="32">
        <f t="shared" si="15"/>
        <v>226.91328000000004</v>
      </c>
      <c r="X65" s="32">
        <f t="shared" si="16"/>
        <v>231.36256000000003</v>
      </c>
      <c r="Z65" s="96"/>
      <c r="AA65" s="96"/>
      <c r="AB65" s="96"/>
      <c r="AC65" s="96"/>
      <c r="AH65" s="20">
        <v>45</v>
      </c>
      <c r="AI65" s="117" t="s">
        <v>4107</v>
      </c>
      <c r="AJ65" s="117">
        <v>995000</v>
      </c>
      <c r="AK65" s="20">
        <v>2</v>
      </c>
      <c r="AL65" s="99">
        <f t="shared" ref="AL65:AL92" si="17">AL66+AK65</f>
        <v>187</v>
      </c>
      <c r="AM65" s="113">
        <f t="shared" si="10"/>
        <v>186065000</v>
      </c>
      <c r="AN65" s="20"/>
    </row>
    <row r="66" spans="1:40">
      <c r="K66" s="99"/>
      <c r="L66" s="117"/>
      <c r="M66" s="168" t="s">
        <v>1152</v>
      </c>
      <c r="N66" s="117">
        <v>14908</v>
      </c>
      <c r="O66" s="96" t="s">
        <v>25</v>
      </c>
      <c r="P66" t="s">
        <v>25</v>
      </c>
      <c r="Q66" s="169">
        <v>62110</v>
      </c>
      <c r="R66" s="217" t="s">
        <v>4937</v>
      </c>
      <c r="S66" s="198">
        <f>S65-3</f>
        <v>-3</v>
      </c>
      <c r="T66" s="190" t="s">
        <v>4942</v>
      </c>
      <c r="U66" s="217">
        <v>270</v>
      </c>
      <c r="V66" s="217">
        <f>U66*(1+$N$95+$Q$15*S66/36500)</f>
        <v>272.40263013698632</v>
      </c>
      <c r="W66" s="32">
        <f t="shared" si="15"/>
        <v>277.85068273972604</v>
      </c>
      <c r="X66" s="32">
        <f t="shared" si="16"/>
        <v>283.29873534246576</v>
      </c>
      <c r="Z66" s="96"/>
      <c r="AA66" s="96"/>
      <c r="AB66" s="96"/>
      <c r="AC66" s="96"/>
      <c r="AH66" s="20">
        <v>46</v>
      </c>
      <c r="AI66" s="117" t="s">
        <v>4117</v>
      </c>
      <c r="AJ66" s="117">
        <v>13000000</v>
      </c>
      <c r="AK66" s="20">
        <v>2</v>
      </c>
      <c r="AL66" s="99">
        <f t="shared" si="17"/>
        <v>185</v>
      </c>
      <c r="AM66" s="113">
        <f t="shared" si="10"/>
        <v>2405000000</v>
      </c>
      <c r="AN66" s="20"/>
    </row>
    <row r="67" spans="1:40">
      <c r="A67" t="s">
        <v>25</v>
      </c>
      <c r="F67" t="s">
        <v>310</v>
      </c>
      <c r="G67" t="s">
        <v>4099</v>
      </c>
      <c r="K67" s="99"/>
      <c r="L67" s="99"/>
      <c r="M67" s="168" t="s">
        <v>1153</v>
      </c>
      <c r="N67" s="117">
        <v>5282</v>
      </c>
      <c r="O67" s="96"/>
      <c r="P67" t="s">
        <v>25</v>
      </c>
      <c r="Q67" s="169"/>
      <c r="R67" s="168"/>
      <c r="S67" s="113"/>
      <c r="T67" s="113"/>
      <c r="U67" s="168"/>
      <c r="V67" s="168">
        <f>U67*(1+$N$95+$Q$15*S67/36500)</f>
        <v>0</v>
      </c>
      <c r="W67" s="32">
        <f t="shared" si="15"/>
        <v>0</v>
      </c>
      <c r="X67" s="32">
        <f t="shared" si="16"/>
        <v>0</v>
      </c>
      <c r="Z67" s="96"/>
      <c r="AA67" s="96"/>
      <c r="AB67" s="96"/>
      <c r="AC67" s="96"/>
      <c r="AH67" s="20">
        <v>47</v>
      </c>
      <c r="AI67" s="117" t="s">
        <v>4130</v>
      </c>
      <c r="AJ67" s="117">
        <v>-3100000</v>
      </c>
      <c r="AK67" s="20">
        <v>3</v>
      </c>
      <c r="AL67" s="99">
        <f t="shared" si="17"/>
        <v>183</v>
      </c>
      <c r="AM67" s="113">
        <f t="shared" si="10"/>
        <v>-567300000</v>
      </c>
      <c r="AN67" s="20"/>
    </row>
    <row r="68" spans="1:40">
      <c r="F68" t="s">
        <v>4103</v>
      </c>
      <c r="G68" t="s">
        <v>4098</v>
      </c>
      <c r="K68" s="168"/>
      <c r="L68" s="117"/>
      <c r="M68" s="168"/>
      <c r="N68" s="113"/>
      <c r="O68" s="115"/>
      <c r="P68" s="115"/>
      <c r="Q68" s="113">
        <f>SUM(N31:N36)-SUM(Q56:Q67)</f>
        <v>569101.59999999963</v>
      </c>
      <c r="R68" s="168"/>
      <c r="S68" s="168"/>
      <c r="T68" s="168"/>
      <c r="U68" s="168"/>
      <c r="V68" s="168"/>
      <c r="W68" s="32"/>
      <c r="X68" s="32"/>
      <c r="Z68" s="96"/>
      <c r="AA68" s="96"/>
      <c r="AB68" s="96"/>
      <c r="AC68" s="96"/>
      <c r="AH68" s="20">
        <v>48</v>
      </c>
      <c r="AI68" s="117" t="s">
        <v>4145</v>
      </c>
      <c r="AJ68" s="117">
        <v>45640000</v>
      </c>
      <c r="AK68" s="20">
        <v>1</v>
      </c>
      <c r="AL68" s="99">
        <f t="shared" si="17"/>
        <v>180</v>
      </c>
      <c r="AM68" s="113">
        <f t="shared" si="10"/>
        <v>8215200000</v>
      </c>
      <c r="AN68" s="20"/>
    </row>
    <row r="69" spans="1:40">
      <c r="F69" t="s">
        <v>4104</v>
      </c>
      <c r="G69" t="s">
        <v>4100</v>
      </c>
      <c r="K69" s="168" t="s">
        <v>25</v>
      </c>
      <c r="L69" s="117"/>
      <c r="M69" s="168" t="s">
        <v>4180</v>
      </c>
      <c r="N69" s="113">
        <f>-O69*P69</f>
        <v>-12672452.800000001</v>
      </c>
      <c r="O69" s="99">
        <v>66557</v>
      </c>
      <c r="P69" s="99">
        <f>P62</f>
        <v>190.4</v>
      </c>
      <c r="R69" s="115"/>
      <c r="S69" s="115"/>
      <c r="T69" s="115" t="s">
        <v>25</v>
      </c>
      <c r="U69" s="115"/>
      <c r="V69" s="115"/>
      <c r="W69" s="195"/>
      <c r="X69" s="195"/>
      <c r="Z69" s="96"/>
      <c r="AA69" s="96"/>
      <c r="AB69" s="96"/>
      <c r="AC69" s="96"/>
      <c r="AH69" s="20">
        <v>49</v>
      </c>
      <c r="AI69" s="117" t="s">
        <v>4151</v>
      </c>
      <c r="AJ69" s="117">
        <v>33500000</v>
      </c>
      <c r="AK69" s="20">
        <v>1</v>
      </c>
      <c r="AL69" s="99">
        <f t="shared" si="17"/>
        <v>179</v>
      </c>
      <c r="AM69" s="113">
        <f t="shared" si="10"/>
        <v>5996500000</v>
      </c>
      <c r="AN69" s="20"/>
    </row>
    <row r="70" spans="1:40">
      <c r="G70" t="s">
        <v>4101</v>
      </c>
      <c r="K70" s="168"/>
      <c r="L70" s="117"/>
      <c r="M70" s="168"/>
      <c r="N70" s="113"/>
      <c r="Q70" t="s">
        <v>25</v>
      </c>
      <c r="S70" s="26" t="s">
        <v>25</v>
      </c>
      <c r="T70" t="s">
        <v>25</v>
      </c>
      <c r="U70" s="96" t="s">
        <v>25</v>
      </c>
      <c r="V70" s="115" t="s">
        <v>25</v>
      </c>
      <c r="W70" s="195"/>
      <c r="X70" s="195"/>
      <c r="AH70" s="20">
        <v>50</v>
      </c>
      <c r="AI70" s="117" t="s">
        <v>4156</v>
      </c>
      <c r="AJ70" s="117">
        <v>12000000</v>
      </c>
      <c r="AK70" s="20">
        <v>1</v>
      </c>
      <c r="AL70" s="99">
        <f t="shared" si="17"/>
        <v>178</v>
      </c>
      <c r="AM70" s="117">
        <f t="shared" si="10"/>
        <v>2136000000</v>
      </c>
      <c r="AN70" s="20"/>
    </row>
    <row r="71" spans="1:40">
      <c r="G71" t="s">
        <v>4102</v>
      </c>
      <c r="K71" s="168"/>
      <c r="L71" s="117"/>
      <c r="M71" s="168"/>
      <c r="N71" s="113"/>
      <c r="Q71" t="s">
        <v>25</v>
      </c>
      <c r="T71" t="s">
        <v>25</v>
      </c>
      <c r="W71" s="195"/>
      <c r="X71" s="195"/>
      <c r="AH71" s="20">
        <v>51</v>
      </c>
      <c r="AI71" s="117" t="s">
        <v>4162</v>
      </c>
      <c r="AJ71" s="117">
        <v>15500000</v>
      </c>
      <c r="AK71" s="20">
        <v>4</v>
      </c>
      <c r="AL71" s="99">
        <f t="shared" si="17"/>
        <v>177</v>
      </c>
      <c r="AM71" s="117">
        <f t="shared" si="10"/>
        <v>2743500000</v>
      </c>
      <c r="AN71" s="20"/>
    </row>
    <row r="72" spans="1:40">
      <c r="G72" t="s">
        <v>4106</v>
      </c>
      <c r="K72" s="168"/>
      <c r="L72" s="117"/>
      <c r="M72" s="168" t="s">
        <v>4446</v>
      </c>
      <c r="N72" s="113">
        <f>-S156</f>
        <v>-15407665.001928311</v>
      </c>
      <c r="T72" t="s">
        <v>25</v>
      </c>
      <c r="U72" s="96" t="s">
        <v>25</v>
      </c>
      <c r="V72" t="s">
        <v>25</v>
      </c>
      <c r="W72" s="195"/>
      <c r="X72" s="195"/>
      <c r="AH72" s="20">
        <v>52</v>
      </c>
      <c r="AI72" s="117" t="s">
        <v>4166</v>
      </c>
      <c r="AJ72" s="117">
        <v>150000</v>
      </c>
      <c r="AK72" s="20">
        <v>1</v>
      </c>
      <c r="AL72" s="99">
        <f t="shared" si="17"/>
        <v>173</v>
      </c>
      <c r="AM72" s="117">
        <f t="shared" si="10"/>
        <v>25950000</v>
      </c>
      <c r="AN72" s="20"/>
    </row>
    <row r="73" spans="1:40">
      <c r="G73" t="s">
        <v>4105</v>
      </c>
      <c r="K73" s="168"/>
      <c r="L73" s="117"/>
      <c r="M73" s="168" t="s">
        <v>4750</v>
      </c>
      <c r="N73" s="113">
        <f>50*P64</f>
        <v>23500000</v>
      </c>
      <c r="P73" t="s">
        <v>25</v>
      </c>
      <c r="W73" s="195"/>
      <c r="X73" s="195"/>
      <c r="AH73" s="179">
        <v>53</v>
      </c>
      <c r="AI73" s="180" t="s">
        <v>4172</v>
      </c>
      <c r="AJ73" s="180">
        <v>29000000</v>
      </c>
      <c r="AK73" s="179">
        <v>15</v>
      </c>
      <c r="AL73" s="179">
        <f t="shared" si="17"/>
        <v>172</v>
      </c>
      <c r="AM73" s="180">
        <f t="shared" si="10"/>
        <v>4988000000</v>
      </c>
      <c r="AN73" s="179" t="s">
        <v>4186</v>
      </c>
    </row>
    <row r="74" spans="1:40" ht="30">
      <c r="K74" s="168"/>
      <c r="L74" s="117"/>
      <c r="M74" s="168"/>
      <c r="N74" s="113"/>
      <c r="P74" t="s">
        <v>25</v>
      </c>
      <c r="Q74" s="73" t="s">
        <v>4295</v>
      </c>
      <c r="R74" s="112"/>
      <c r="S74" s="112"/>
      <c r="T74" s="112"/>
      <c r="U74" s="168" t="s">
        <v>4363</v>
      </c>
      <c r="V74" s="36" t="s">
        <v>4365</v>
      </c>
      <c r="W74" s="32"/>
      <c r="X74" s="32"/>
      <c r="AH74" s="20">
        <v>54</v>
      </c>
      <c r="AI74" s="117" t="s">
        <v>4210</v>
      </c>
      <c r="AJ74" s="117">
        <v>-130000</v>
      </c>
      <c r="AK74" s="20">
        <v>7</v>
      </c>
      <c r="AL74" s="99">
        <f t="shared" si="17"/>
        <v>157</v>
      </c>
      <c r="AM74" s="117">
        <f t="shared" si="10"/>
        <v>-20410000</v>
      </c>
      <c r="AN74" s="20" t="s">
        <v>4212</v>
      </c>
    </row>
    <row r="75" spans="1:40">
      <c r="K75" s="168" t="s">
        <v>598</v>
      </c>
      <c r="L75" s="113">
        <f>SUM(L16:L58)</f>
        <v>400036109.2089476</v>
      </c>
      <c r="M75" s="168"/>
      <c r="N75" s="113">
        <f>SUM(N16:N74)</f>
        <v>428515326.28912407</v>
      </c>
      <c r="Q75" s="112" t="s">
        <v>267</v>
      </c>
      <c r="R75" s="112" t="s">
        <v>180</v>
      </c>
      <c r="S75" s="112" t="s">
        <v>183</v>
      </c>
      <c r="T75" s="112" t="s">
        <v>8</v>
      </c>
      <c r="U75" s="168"/>
      <c r="V75" s="99"/>
      <c r="W75" s="32">
        <v>2</v>
      </c>
      <c r="X75" s="32">
        <v>4</v>
      </c>
      <c r="Y75">
        <v>961521</v>
      </c>
      <c r="AH75" s="20">
        <v>55</v>
      </c>
      <c r="AI75" s="117" t="s">
        <v>4258</v>
      </c>
      <c r="AJ75" s="117">
        <v>232000</v>
      </c>
      <c r="AK75" s="20">
        <v>2</v>
      </c>
      <c r="AL75" s="99">
        <f t="shared" si="17"/>
        <v>150</v>
      </c>
      <c r="AM75" s="117">
        <f>AJ75*AL75</f>
        <v>34800000</v>
      </c>
      <c r="AN75" s="20" t="s">
        <v>4260</v>
      </c>
    </row>
    <row r="76" spans="1:40">
      <c r="D76" s="3"/>
      <c r="E76" s="11" t="s">
        <v>304</v>
      </c>
      <c r="K76" s="168" t="s">
        <v>599</v>
      </c>
      <c r="L76" s="113">
        <f>L16+L17+L28</f>
        <v>621510</v>
      </c>
      <c r="M76" s="168"/>
      <c r="N76" s="113">
        <f>N16+N17+N40</f>
        <v>1083980</v>
      </c>
      <c r="Q76" s="35">
        <v>184971545</v>
      </c>
      <c r="R76" s="5" t="s">
        <v>4172</v>
      </c>
      <c r="S76" s="5">
        <v>171</v>
      </c>
      <c r="T76" s="5" t="s">
        <v>4346</v>
      </c>
      <c r="U76" s="168">
        <v>192</v>
      </c>
      <c r="V76" s="99">
        <f>U76*(1+$N$95+$Q$15*S76/36500)</f>
        <v>219.33659178082192</v>
      </c>
      <c r="W76" s="32">
        <f t="shared" ref="W76:W98" si="18">V76*(1+$W$19/100)</f>
        <v>223.72332361643836</v>
      </c>
      <c r="X76" s="32">
        <f t="shared" ref="X76:X98" si="19">V76*(1+$X$19/100)</f>
        <v>228.11005545205481</v>
      </c>
      <c r="Y76">
        <v>44349</v>
      </c>
      <c r="AH76" s="20">
        <v>56</v>
      </c>
      <c r="AI76" s="117" t="s">
        <v>4269</v>
      </c>
      <c r="AJ76" s="117">
        <v>-170000</v>
      </c>
      <c r="AK76" s="20">
        <v>3</v>
      </c>
      <c r="AL76" s="99">
        <f t="shared" si="17"/>
        <v>148</v>
      </c>
      <c r="AM76" s="117">
        <f t="shared" si="10"/>
        <v>-25160000</v>
      </c>
      <c r="AN76" s="20"/>
    </row>
    <row r="77" spans="1:40">
      <c r="D77" s="1" t="s">
        <v>305</v>
      </c>
      <c r="E77" s="1">
        <v>70000</v>
      </c>
      <c r="K77" s="56" t="s">
        <v>716</v>
      </c>
      <c r="L77" s="1">
        <f>L75+N7</f>
        <v>470036109.2089476</v>
      </c>
      <c r="M77" s="113"/>
      <c r="N77" s="168"/>
      <c r="O77" s="115"/>
      <c r="P77" s="115"/>
      <c r="Q77" s="35">
        <v>9560464</v>
      </c>
      <c r="R77" s="5" t="s">
        <v>4299</v>
      </c>
      <c r="S77" s="5">
        <f>S76-31</f>
        <v>140</v>
      </c>
      <c r="T77" s="5" t="s">
        <v>4312</v>
      </c>
      <c r="U77" s="168">
        <v>214.57</v>
      </c>
      <c r="V77" s="99">
        <f>U77*(1+$N$95+$Q$15*S77/36500)</f>
        <v>240.0174141369863</v>
      </c>
      <c r="W77" s="32">
        <f t="shared" si="18"/>
        <v>244.81776241972602</v>
      </c>
      <c r="X77" s="32">
        <f t="shared" si="19"/>
        <v>249.61811070246577</v>
      </c>
      <c r="Y77">
        <v>9625</v>
      </c>
      <c r="AH77" s="20">
        <v>57</v>
      </c>
      <c r="AI77" s="117" t="s">
        <v>4283</v>
      </c>
      <c r="AJ77" s="117">
        <v>-300000</v>
      </c>
      <c r="AK77" s="20">
        <v>3</v>
      </c>
      <c r="AL77" s="99">
        <f t="shared" si="17"/>
        <v>145</v>
      </c>
      <c r="AM77" s="117">
        <f t="shared" si="10"/>
        <v>-43500000</v>
      </c>
      <c r="AN77" s="20"/>
    </row>
    <row r="78" spans="1:40">
      <c r="D78" s="1" t="s">
        <v>321</v>
      </c>
      <c r="E78" s="1">
        <v>100000</v>
      </c>
      <c r="O78" s="96"/>
      <c r="P78" s="96"/>
      <c r="Q78" s="35">
        <v>2000000</v>
      </c>
      <c r="R78" s="5" t="s">
        <v>4342</v>
      </c>
      <c r="S78" s="5">
        <f>S77-11</f>
        <v>129</v>
      </c>
      <c r="T78" s="5" t="s">
        <v>4345</v>
      </c>
      <c r="U78" s="168">
        <v>206.8</v>
      </c>
      <c r="V78" s="99">
        <f>U78*(1+$N$95+$Q$15*S78/36500)</f>
        <v>229.58086136986304</v>
      </c>
      <c r="W78" s="32">
        <f t="shared" si="18"/>
        <v>234.17247859726032</v>
      </c>
      <c r="X78" s="32">
        <f t="shared" si="19"/>
        <v>238.76409582465757</v>
      </c>
      <c r="Y78">
        <v>6980</v>
      </c>
      <c r="AD78" s="115"/>
      <c r="AE78" s="115"/>
      <c r="AH78" s="20">
        <v>58</v>
      </c>
      <c r="AI78" s="117" t="s">
        <v>4292</v>
      </c>
      <c r="AJ78" s="117">
        <v>-11400000</v>
      </c>
      <c r="AK78" s="20">
        <v>13</v>
      </c>
      <c r="AL78" s="99">
        <f>AL79+AK78</f>
        <v>142</v>
      </c>
      <c r="AM78" s="117">
        <f t="shared" si="10"/>
        <v>-1618800000</v>
      </c>
      <c r="AN78" s="20"/>
    </row>
    <row r="79" spans="1:40">
      <c r="D79" s="1" t="s">
        <v>306</v>
      </c>
      <c r="E79" s="1">
        <v>80000</v>
      </c>
      <c r="M79" s="25"/>
      <c r="O79" t="s">
        <v>25</v>
      </c>
      <c r="Q79" s="35">
        <v>1429825</v>
      </c>
      <c r="R79" s="5" t="s">
        <v>4372</v>
      </c>
      <c r="S79" s="5">
        <f>S78-7</f>
        <v>122</v>
      </c>
      <c r="T79" s="5" t="s">
        <v>4381</v>
      </c>
      <c r="U79" s="168">
        <v>203.9</v>
      </c>
      <c r="V79" s="99">
        <f>U79*(1+$N$95+$Q$15*S79/36500)</f>
        <v>225.26648547945209</v>
      </c>
      <c r="W79" s="32">
        <f t="shared" si="18"/>
        <v>229.77181518904112</v>
      </c>
      <c r="X79" s="32">
        <f t="shared" si="19"/>
        <v>234.27714489863018</v>
      </c>
      <c r="Y79">
        <v>6963</v>
      </c>
      <c r="AC79" s="115"/>
      <c r="AD79" s="115"/>
      <c r="AE79" s="115"/>
      <c r="AF79"/>
      <c r="AH79" s="20">
        <v>59</v>
      </c>
      <c r="AI79" s="117" t="s">
        <v>4347</v>
      </c>
      <c r="AJ79" s="117">
        <v>-10000000</v>
      </c>
      <c r="AK79" s="20">
        <v>1</v>
      </c>
      <c r="AL79" s="99">
        <f>AL80+AK79</f>
        <v>129</v>
      </c>
      <c r="AM79" s="117">
        <f>AJ79*AL79</f>
        <v>-1290000000</v>
      </c>
      <c r="AN79" s="20"/>
    </row>
    <row r="80" spans="1:40">
      <c r="D80" s="31" t="s">
        <v>307</v>
      </c>
      <c r="E80" s="1">
        <v>150000</v>
      </c>
      <c r="J80" t="s">
        <v>25</v>
      </c>
      <c r="M80" s="25" t="s">
        <v>4080</v>
      </c>
      <c r="N80" s="99" t="s">
        <v>452</v>
      </c>
      <c r="O80" s="113">
        <f>O62*25</f>
        <v>31412200</v>
      </c>
      <c r="P80" s="115"/>
      <c r="Q80" s="35">
        <v>1420747</v>
      </c>
      <c r="R80" s="5" t="s">
        <v>4372</v>
      </c>
      <c r="S80" s="5">
        <f>S79</f>
        <v>122</v>
      </c>
      <c r="T80" s="5" t="s">
        <v>4383</v>
      </c>
      <c r="U80" s="168">
        <v>203.1</v>
      </c>
      <c r="V80" s="99">
        <f>U80*(1+$N$95+$Q$15*S80/36500)</f>
        <v>224.38265424657536</v>
      </c>
      <c r="W80" s="32">
        <f t="shared" si="18"/>
        <v>228.87030733150687</v>
      </c>
      <c r="X80" s="32">
        <f t="shared" si="19"/>
        <v>233.35796041643837</v>
      </c>
      <c r="Y80" s="96">
        <v>0</v>
      </c>
      <c r="AC80" s="115"/>
      <c r="AD80" s="115"/>
      <c r="AE80" s="115"/>
      <c r="AF80"/>
      <c r="AH80" s="20">
        <v>60</v>
      </c>
      <c r="AI80" s="117" t="s">
        <v>4348</v>
      </c>
      <c r="AJ80" s="117">
        <v>-2450000</v>
      </c>
      <c r="AK80" s="20">
        <v>5</v>
      </c>
      <c r="AL80" s="99">
        <f>AL81+AK80</f>
        <v>128</v>
      </c>
      <c r="AM80" s="117">
        <f>AJ80*AL80</f>
        <v>-313600000</v>
      </c>
      <c r="AN80" s="20"/>
    </row>
    <row r="81" spans="4:52">
      <c r="D81" s="31" t="s">
        <v>308</v>
      </c>
      <c r="E81" s="1">
        <v>300000</v>
      </c>
      <c r="M81" s="177"/>
      <c r="N81" s="99" t="s">
        <v>1087</v>
      </c>
      <c r="O81" s="113">
        <f>O36*25</f>
        <v>433375</v>
      </c>
      <c r="P81" s="115"/>
      <c r="Q81" s="35">
        <v>2412371</v>
      </c>
      <c r="R81" s="5" t="s">
        <v>4374</v>
      </c>
      <c r="S81" s="5">
        <f>S80-1</f>
        <v>121</v>
      </c>
      <c r="T81" s="5" t="s">
        <v>4390</v>
      </c>
      <c r="U81" s="168">
        <v>3930</v>
      </c>
      <c r="V81" s="99">
        <f>U81*(1+$N$95+$Q$15*S81/36500)</f>
        <v>4338.8061369863017</v>
      </c>
      <c r="W81" s="32">
        <f t="shared" si="18"/>
        <v>4425.5822597260276</v>
      </c>
      <c r="X81" s="32">
        <f t="shared" si="19"/>
        <v>4512.3583824657535</v>
      </c>
      <c r="Y81" s="96">
        <v>9904</v>
      </c>
      <c r="AD81" s="115"/>
      <c r="AE81" s="115"/>
      <c r="AF81" s="115"/>
      <c r="AH81" s="20">
        <v>61</v>
      </c>
      <c r="AI81" s="117" t="s">
        <v>4372</v>
      </c>
      <c r="AJ81" s="117">
        <v>-456081</v>
      </c>
      <c r="AK81" s="20">
        <v>1</v>
      </c>
      <c r="AL81" s="99">
        <f t="shared" si="17"/>
        <v>123</v>
      </c>
      <c r="AM81" s="117">
        <f t="shared" si="10"/>
        <v>-56097963</v>
      </c>
      <c r="AN81" s="20"/>
    </row>
    <row r="82" spans="4:52">
      <c r="D82" s="31" t="s">
        <v>309</v>
      </c>
      <c r="E82" s="1">
        <v>100000</v>
      </c>
      <c r="G82" s="48" t="s">
        <v>788</v>
      </c>
      <c r="H82" s="202" t="s">
        <v>476</v>
      </c>
      <c r="M82" s="96" t="s">
        <v>4881</v>
      </c>
      <c r="N82" s="99" t="s">
        <v>751</v>
      </c>
      <c r="O82" s="113">
        <f>O21*25</f>
        <v>2060725</v>
      </c>
      <c r="Q82" s="35">
        <v>2010885</v>
      </c>
      <c r="R82" s="5" t="s">
        <v>4393</v>
      </c>
      <c r="S82" s="5">
        <f>S81-2</f>
        <v>119</v>
      </c>
      <c r="T82" s="5" t="s">
        <v>4399</v>
      </c>
      <c r="U82" s="168">
        <v>202.1</v>
      </c>
      <c r="V82" s="99">
        <f>U82*(1+$N$95+$Q$15*S82/36500)</f>
        <v>222.81275835616441</v>
      </c>
      <c r="W82" s="32">
        <f t="shared" si="18"/>
        <v>227.2690135232877</v>
      </c>
      <c r="X82" s="32">
        <f t="shared" si="19"/>
        <v>231.72526869041099</v>
      </c>
      <c r="Y82" s="96">
        <v>0</v>
      </c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4374</v>
      </c>
      <c r="AJ82" s="117">
        <v>-500000</v>
      </c>
      <c r="AK82" s="20">
        <v>2</v>
      </c>
      <c r="AL82" s="99">
        <f>AL83+AK82</f>
        <v>122</v>
      </c>
      <c r="AM82" s="117">
        <f t="shared" si="10"/>
        <v>-61000000</v>
      </c>
      <c r="AN82" s="20"/>
      <c r="AO82" t="s">
        <v>25</v>
      </c>
      <c r="AU82"/>
      <c r="AW82" t="s">
        <v>25</v>
      </c>
    </row>
    <row r="83" spans="4:52">
      <c r="D83" s="31" t="s">
        <v>310</v>
      </c>
      <c r="E83" s="1">
        <v>200000</v>
      </c>
      <c r="G83" s="47">
        <v>700000</v>
      </c>
      <c r="H83" s="202" t="s">
        <v>1039</v>
      </c>
      <c r="M83" s="122" t="s">
        <v>4411</v>
      </c>
      <c r="O83" s="114"/>
      <c r="Q83" s="35">
        <v>1994038</v>
      </c>
      <c r="R83" s="5" t="s">
        <v>4404</v>
      </c>
      <c r="S83" s="5">
        <f>S82-3</f>
        <v>116</v>
      </c>
      <c r="T83" s="5" t="s">
        <v>4420</v>
      </c>
      <c r="U83" s="168">
        <v>5560.3</v>
      </c>
      <c r="V83" s="99">
        <f>U83*(1+$N$95+$Q$15*S83/36500)</f>
        <v>6117.3658915068499</v>
      </c>
      <c r="W83" s="32">
        <f t="shared" si="18"/>
        <v>6239.7132093369873</v>
      </c>
      <c r="X83" s="32">
        <f t="shared" si="19"/>
        <v>6362.0605271671238</v>
      </c>
      <c r="Y83" s="96">
        <v>0</v>
      </c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4393</v>
      </c>
      <c r="AJ83" s="117">
        <v>-6234370</v>
      </c>
      <c r="AK83" s="20">
        <v>3</v>
      </c>
      <c r="AL83" s="99">
        <f t="shared" si="17"/>
        <v>120</v>
      </c>
      <c r="AM83" s="117">
        <f t="shared" si="10"/>
        <v>-748124400</v>
      </c>
      <c r="AN83" s="20"/>
      <c r="AU83"/>
    </row>
    <row r="84" spans="4:52">
      <c r="D84" s="18" t="s">
        <v>311</v>
      </c>
      <c r="E84" s="18">
        <v>300000</v>
      </c>
      <c r="G84" s="47">
        <v>500000</v>
      </c>
      <c r="H84" s="202" t="s">
        <v>479</v>
      </c>
      <c r="J84">
        <v>1</v>
      </c>
      <c r="M84" s="122" t="s">
        <v>4510</v>
      </c>
      <c r="N84" s="96"/>
      <c r="Q84" s="35">
        <v>444</v>
      </c>
      <c r="R84" s="5" t="s">
        <v>4404</v>
      </c>
      <c r="S84" s="5">
        <f>S83</f>
        <v>116</v>
      </c>
      <c r="T84" s="5" t="s">
        <v>4620</v>
      </c>
      <c r="U84" s="168">
        <v>441.8</v>
      </c>
      <c r="V84" s="99">
        <f>U84*(1+$N$95+$Q$15*S84/36500)</f>
        <v>486.06230794520559</v>
      </c>
      <c r="W84" s="32">
        <f t="shared" si="18"/>
        <v>495.78355410410973</v>
      </c>
      <c r="X84" s="32">
        <f t="shared" si="19"/>
        <v>505.50480026301381</v>
      </c>
      <c r="Y84" s="96">
        <v>10000</v>
      </c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4404</v>
      </c>
      <c r="AJ84" s="117">
        <v>1950957</v>
      </c>
      <c r="AK84" s="20">
        <v>4</v>
      </c>
      <c r="AL84" s="99">
        <f t="shared" si="17"/>
        <v>117</v>
      </c>
      <c r="AM84" s="117">
        <f t="shared" si="10"/>
        <v>228261969</v>
      </c>
      <c r="AN84" s="20"/>
      <c r="AS84" s="96"/>
      <c r="AZ84" t="s">
        <v>25</v>
      </c>
    </row>
    <row r="85" spans="4:52">
      <c r="D85" s="32" t="s">
        <v>312</v>
      </c>
      <c r="E85" s="1">
        <v>200000</v>
      </c>
      <c r="G85" s="47">
        <v>180000</v>
      </c>
      <c r="H85" s="202" t="s">
        <v>558</v>
      </c>
      <c r="M85" s="122" t="s">
        <v>4584</v>
      </c>
      <c r="N85" s="96"/>
      <c r="P85" t="s">
        <v>25</v>
      </c>
      <c r="Q85" s="35">
        <v>1971103</v>
      </c>
      <c r="R85" s="5" t="s">
        <v>4415</v>
      </c>
      <c r="S85" s="5">
        <f>S84-1</f>
        <v>115</v>
      </c>
      <c r="T85" s="5" t="s">
        <v>4416</v>
      </c>
      <c r="U85" s="168">
        <v>196.2</v>
      </c>
      <c r="V85" s="99">
        <f>U85*(1+$N$95+$Q$15*S85/36500)</f>
        <v>215.70604273972603</v>
      </c>
      <c r="W85" s="32">
        <f t="shared" si="18"/>
        <v>220.02016359452057</v>
      </c>
      <c r="X85" s="32">
        <f t="shared" si="19"/>
        <v>224.33428444931508</v>
      </c>
      <c r="Y85" s="96">
        <v>5664</v>
      </c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4430</v>
      </c>
      <c r="AJ85" s="117">
        <v>600000</v>
      </c>
      <c r="AK85" s="20">
        <v>5</v>
      </c>
      <c r="AL85" s="99">
        <f t="shared" si="17"/>
        <v>113</v>
      </c>
      <c r="AM85" s="117">
        <f t="shared" si="10"/>
        <v>67800000</v>
      </c>
      <c r="AN85" s="20"/>
      <c r="AS85" s="96"/>
    </row>
    <row r="86" spans="4:52" ht="45">
      <c r="D86" s="32" t="s">
        <v>313</v>
      </c>
      <c r="E86" s="1">
        <v>20000</v>
      </c>
      <c r="G86" s="47">
        <v>0</v>
      </c>
      <c r="H86" s="202" t="s">
        <v>784</v>
      </c>
      <c r="K86" s="216" t="s">
        <v>4800</v>
      </c>
      <c r="L86" s="22" t="s">
        <v>4766</v>
      </c>
      <c r="M86" s="210" t="s">
        <v>4740</v>
      </c>
      <c r="N86" s="96"/>
      <c r="P86" s="115"/>
      <c r="Q86" s="35">
        <v>1049856</v>
      </c>
      <c r="R86" s="5" t="s">
        <v>4438</v>
      </c>
      <c r="S86" s="5">
        <f>S85-6</f>
        <v>109</v>
      </c>
      <c r="T86" s="5" t="s">
        <v>4477</v>
      </c>
      <c r="U86" s="168">
        <v>184.5</v>
      </c>
      <c r="V86" s="99">
        <f>U86*(1+$N$95+$Q$15*S86/36500)</f>
        <v>201.99363287671235</v>
      </c>
      <c r="W86" s="32">
        <f t="shared" si="18"/>
        <v>206.03350553424661</v>
      </c>
      <c r="X86" s="32">
        <f t="shared" si="19"/>
        <v>210.07337819178085</v>
      </c>
      <c r="Y86" s="96">
        <v>10000</v>
      </c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4440</v>
      </c>
      <c r="AJ86" s="117">
        <v>7500000</v>
      </c>
      <c r="AK86" s="20">
        <v>2</v>
      </c>
      <c r="AL86" s="99">
        <f t="shared" si="17"/>
        <v>108</v>
      </c>
      <c r="AM86" s="117">
        <f t="shared" si="10"/>
        <v>810000000</v>
      </c>
      <c r="AN86" s="20"/>
    </row>
    <row r="87" spans="4:52">
      <c r="D87" s="32" t="s">
        <v>315</v>
      </c>
      <c r="E87" s="1">
        <v>50000</v>
      </c>
      <c r="G87" s="47">
        <v>0</v>
      </c>
      <c r="H87" s="202" t="s">
        <v>785</v>
      </c>
      <c r="J87">
        <v>2</v>
      </c>
      <c r="K87" t="s">
        <v>4801</v>
      </c>
      <c r="M87" s="122"/>
      <c r="N87" s="96"/>
      <c r="P87" s="115" t="s">
        <v>25</v>
      </c>
      <c r="Q87" s="35">
        <v>1783234</v>
      </c>
      <c r="R87" s="5" t="s">
        <v>4440</v>
      </c>
      <c r="S87" s="5">
        <f>S86-2</f>
        <v>107</v>
      </c>
      <c r="T87" s="5" t="s">
        <v>4441</v>
      </c>
      <c r="U87" s="168">
        <v>177.5</v>
      </c>
      <c r="V87" s="99">
        <f>U87*(1+$N$95+$Q$15*S87/36500)</f>
        <v>194.05758904109589</v>
      </c>
      <c r="W87" s="32">
        <f t="shared" si="18"/>
        <v>197.9387408219178</v>
      </c>
      <c r="X87" s="32">
        <f t="shared" si="19"/>
        <v>201.81989260273974</v>
      </c>
      <c r="Y87" s="96">
        <v>8695</v>
      </c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4445</v>
      </c>
      <c r="AJ87" s="117">
        <v>-587816</v>
      </c>
      <c r="AK87" s="20">
        <v>3</v>
      </c>
      <c r="AL87" s="99">
        <f t="shared" si="17"/>
        <v>106</v>
      </c>
      <c r="AM87" s="117">
        <f t="shared" si="10"/>
        <v>-62308496</v>
      </c>
      <c r="AN87" s="20"/>
      <c r="AQ87" t="s">
        <v>25</v>
      </c>
      <c r="AR87" t="s">
        <v>25</v>
      </c>
    </row>
    <row r="88" spans="4:52">
      <c r="D88" s="32" t="s">
        <v>316</v>
      </c>
      <c r="E88" s="1">
        <v>90000</v>
      </c>
      <c r="G88" s="47">
        <v>500000</v>
      </c>
      <c r="H88" s="48" t="s">
        <v>786</v>
      </c>
      <c r="K88" t="s">
        <v>4587</v>
      </c>
      <c r="L88" s="96"/>
      <c r="M88" s="122"/>
      <c r="O88" t="s">
        <v>25</v>
      </c>
      <c r="P88" s="115"/>
      <c r="Q88" s="35">
        <v>1662335</v>
      </c>
      <c r="R88" s="5" t="s">
        <v>4444</v>
      </c>
      <c r="S88" s="5">
        <f>S87-5</f>
        <v>102</v>
      </c>
      <c r="T88" s="222" t="s">
        <v>4601</v>
      </c>
      <c r="U88" s="168">
        <v>190.3</v>
      </c>
      <c r="V88" s="99">
        <f>U88*(1+$N$95+$Q$15*S88/36500)</f>
        <v>207.32168328767125</v>
      </c>
      <c r="W88" s="32">
        <f t="shared" si="18"/>
        <v>211.46811695342467</v>
      </c>
      <c r="X88" s="32">
        <f t="shared" si="19"/>
        <v>215.61455061917812</v>
      </c>
      <c r="Y88" s="96"/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4444</v>
      </c>
      <c r="AJ88" s="117">
        <v>-907489</v>
      </c>
      <c r="AK88" s="20">
        <v>0</v>
      </c>
      <c r="AL88" s="99">
        <f>AL89+AK88</f>
        <v>103</v>
      </c>
      <c r="AM88" s="117">
        <f t="shared" si="10"/>
        <v>-93471367</v>
      </c>
      <c r="AN88" s="20"/>
      <c r="AP88" t="s">
        <v>25</v>
      </c>
      <c r="AV88" t="s">
        <v>25</v>
      </c>
    </row>
    <row r="89" spans="4:52">
      <c r="D89" s="32" t="s">
        <v>317</v>
      </c>
      <c r="E89" s="1">
        <v>50000</v>
      </c>
      <c r="G89" s="47">
        <v>75000</v>
      </c>
      <c r="H89" s="48" t="s">
        <v>787</v>
      </c>
      <c r="K89" t="s">
        <v>4882</v>
      </c>
      <c r="M89" s="96">
        <f>O62+O21+O36-O69</f>
        <v>1289695</v>
      </c>
      <c r="N89" s="113">
        <f>M89*P62</f>
        <v>245557928</v>
      </c>
      <c r="P89" s="115"/>
      <c r="Q89" s="169">
        <v>499973</v>
      </c>
      <c r="R89" s="168" t="s">
        <v>4591</v>
      </c>
      <c r="S89" s="168">
        <f>S88-37</f>
        <v>65</v>
      </c>
      <c r="T89" s="73" t="s">
        <v>4592</v>
      </c>
      <c r="U89" s="168">
        <v>413</v>
      </c>
      <c r="V89" s="99">
        <f>U89*(1+$N$95+$Q$15*S89/36500)</f>
        <v>438.21902465753431</v>
      </c>
      <c r="W89" s="32">
        <f t="shared" si="18"/>
        <v>446.98340515068497</v>
      </c>
      <c r="X89" s="32">
        <f t="shared" si="19"/>
        <v>455.7477856438357</v>
      </c>
      <c r="Y89" s="96"/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4444</v>
      </c>
      <c r="AJ89" s="117">
        <v>2450000</v>
      </c>
      <c r="AK89" s="20">
        <v>1</v>
      </c>
      <c r="AL89" s="99">
        <f t="shared" si="17"/>
        <v>103</v>
      </c>
      <c r="AM89" s="117">
        <f t="shared" si="10"/>
        <v>252350000</v>
      </c>
      <c r="AN89" s="20" t="s">
        <v>4483</v>
      </c>
    </row>
    <row r="90" spans="4:52">
      <c r="D90" s="32" t="s">
        <v>327</v>
      </c>
      <c r="E90" s="1">
        <v>150000</v>
      </c>
      <c r="G90" s="47">
        <v>0</v>
      </c>
      <c r="H90" s="48" t="s">
        <v>789</v>
      </c>
      <c r="K90" t="s">
        <v>4883</v>
      </c>
      <c r="M90" t="s">
        <v>4267</v>
      </c>
      <c r="P90" s="115"/>
      <c r="Q90" s="169">
        <v>11869317</v>
      </c>
      <c r="R90" s="168" t="s">
        <v>4602</v>
      </c>
      <c r="S90" s="168">
        <f>S89-2</f>
        <v>63</v>
      </c>
      <c r="T90" s="168" t="s">
        <v>4603</v>
      </c>
      <c r="U90" s="168">
        <v>395600</v>
      </c>
      <c r="V90" s="99">
        <f>U90*(1+$N$95+$Q$15*S90/36500)</f>
        <v>419149.58027397265</v>
      </c>
      <c r="W90" s="32">
        <f t="shared" si="18"/>
        <v>427532.57187945209</v>
      </c>
      <c r="X90" s="32">
        <f t="shared" si="19"/>
        <v>435915.5634849316</v>
      </c>
      <c r="Y90" s="96"/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4485</v>
      </c>
      <c r="AJ90" s="117">
        <v>1500000</v>
      </c>
      <c r="AK90" s="20">
        <v>1</v>
      </c>
      <c r="AL90" s="99">
        <f t="shared" si="17"/>
        <v>102</v>
      </c>
      <c r="AM90" s="117">
        <f t="shared" si="10"/>
        <v>153000000</v>
      </c>
      <c r="AN90" s="20"/>
      <c r="AP90" t="s">
        <v>25</v>
      </c>
      <c r="AU90" s="96" t="s">
        <v>25</v>
      </c>
    </row>
    <row r="91" spans="4:52">
      <c r="D91" s="32" t="s">
        <v>318</v>
      </c>
      <c r="E91" s="1">
        <v>15000</v>
      </c>
      <c r="G91" s="47">
        <v>500000</v>
      </c>
      <c r="H91" s="48" t="s">
        <v>564</v>
      </c>
      <c r="K91" t="s">
        <v>4884</v>
      </c>
      <c r="M91" t="s">
        <v>4589</v>
      </c>
      <c r="N91" t="s">
        <v>25</v>
      </c>
      <c r="P91" s="115"/>
      <c r="Q91" s="35">
        <v>2272487</v>
      </c>
      <c r="R91" s="5" t="s">
        <v>4612</v>
      </c>
      <c r="S91" s="5">
        <f>S90-3</f>
        <v>60</v>
      </c>
      <c r="T91" s="5" t="s">
        <v>4613</v>
      </c>
      <c r="U91" s="168">
        <v>174.9</v>
      </c>
      <c r="V91" s="99">
        <f>U91*(1+$N$95+$Q$15*S91/36500)</f>
        <v>184.90907178082196</v>
      </c>
      <c r="W91" s="32">
        <f t="shared" si="18"/>
        <v>188.60725321643841</v>
      </c>
      <c r="X91" s="32">
        <f t="shared" si="19"/>
        <v>192.30543465205486</v>
      </c>
      <c r="Z91" s="115"/>
      <c r="AA91" s="115"/>
      <c r="AE91"/>
      <c r="AG91" s="96"/>
      <c r="AH91" s="20">
        <v>71</v>
      </c>
      <c r="AI91" s="117" t="s">
        <v>4491</v>
      </c>
      <c r="AJ91" s="117">
        <v>2648000</v>
      </c>
      <c r="AK91" s="20">
        <v>1</v>
      </c>
      <c r="AL91" s="99">
        <f t="shared" si="17"/>
        <v>101</v>
      </c>
      <c r="AM91" s="117">
        <f t="shared" si="10"/>
        <v>267448000</v>
      </c>
      <c r="AN91" s="20" t="s">
        <v>4492</v>
      </c>
      <c r="AU91" s="96" t="s">
        <v>25</v>
      </c>
    </row>
    <row r="92" spans="4:52">
      <c r="D92" s="32" t="s">
        <v>319</v>
      </c>
      <c r="E92" s="1">
        <v>20000</v>
      </c>
      <c r="G92" s="47">
        <v>50000</v>
      </c>
      <c r="H92" s="48" t="s">
        <v>792</v>
      </c>
      <c r="K92" t="s">
        <v>4544</v>
      </c>
      <c r="P92" s="115"/>
      <c r="Q92" s="35">
        <v>3975257</v>
      </c>
      <c r="R92" s="5" t="s">
        <v>4618</v>
      </c>
      <c r="S92" s="5">
        <f>S91-1</f>
        <v>59</v>
      </c>
      <c r="T92" s="5" t="s">
        <v>4619</v>
      </c>
      <c r="U92" s="168">
        <v>173</v>
      </c>
      <c r="V92" s="99">
        <f>U92*(1+$N$95+$Q$15*S92/36500)</f>
        <v>182.76762739726027</v>
      </c>
      <c r="W92" s="32">
        <f t="shared" si="18"/>
        <v>186.42297994520547</v>
      </c>
      <c r="X92" s="32">
        <f t="shared" si="19"/>
        <v>190.0783324931507</v>
      </c>
      <c r="Z92" s="115"/>
      <c r="AA92" s="115"/>
      <c r="AE92"/>
      <c r="AG92" s="96"/>
      <c r="AH92" s="20">
        <v>72</v>
      </c>
      <c r="AI92" s="117" t="s">
        <v>4232</v>
      </c>
      <c r="AJ92" s="117">
        <v>615000</v>
      </c>
      <c r="AK92" s="20">
        <v>4</v>
      </c>
      <c r="AL92" s="99">
        <f t="shared" si="17"/>
        <v>100</v>
      </c>
      <c r="AM92" s="117">
        <f t="shared" si="10"/>
        <v>61500000</v>
      </c>
      <c r="AN92" s="20"/>
      <c r="AQ92" t="s">
        <v>25</v>
      </c>
      <c r="AV92" t="s">
        <v>25</v>
      </c>
    </row>
    <row r="93" spans="4:52">
      <c r="D93" s="32" t="s">
        <v>320</v>
      </c>
      <c r="E93" s="1">
        <v>40000</v>
      </c>
      <c r="G93" s="47">
        <v>140000</v>
      </c>
      <c r="H93" s="48" t="s">
        <v>314</v>
      </c>
      <c r="K93" t="s">
        <v>4593</v>
      </c>
      <c r="M93" t="s">
        <v>949</v>
      </c>
      <c r="N93">
        <v>6.3E-3</v>
      </c>
      <c r="P93" s="115"/>
      <c r="Q93" s="35">
        <v>1031662</v>
      </c>
      <c r="R93" s="5" t="s">
        <v>4234</v>
      </c>
      <c r="S93" s="5">
        <f>S92-1</f>
        <v>58</v>
      </c>
      <c r="T93" s="5" t="s">
        <v>4622</v>
      </c>
      <c r="U93" s="168">
        <v>171.2</v>
      </c>
      <c r="V93" s="99">
        <f>U93*(1+$N$95+$Q$15*S93/36500)</f>
        <v>180.7346673972603</v>
      </c>
      <c r="W93" s="32">
        <f t="shared" si="18"/>
        <v>184.3493607452055</v>
      </c>
      <c r="X93" s="32">
        <f t="shared" si="19"/>
        <v>187.96405409315071</v>
      </c>
      <c r="Y93">
        <v>13000</v>
      </c>
      <c r="Z93" s="115"/>
      <c r="AA93" s="115"/>
      <c r="AE93"/>
      <c r="AG93" s="96"/>
      <c r="AH93" s="20">
        <v>73</v>
      </c>
      <c r="AI93" s="117" t="s">
        <v>4503</v>
      </c>
      <c r="AJ93" s="117">
        <v>14000000</v>
      </c>
      <c r="AK93" s="20">
        <v>2</v>
      </c>
      <c r="AL93" s="99">
        <f>AL94+AK93</f>
        <v>96</v>
      </c>
      <c r="AM93" s="117">
        <f t="shared" si="10"/>
        <v>1344000000</v>
      </c>
      <c r="AN93" s="20"/>
    </row>
    <row r="94" spans="4:52">
      <c r="D94" s="32" t="s">
        <v>322</v>
      </c>
      <c r="E94" s="1">
        <v>150000</v>
      </c>
      <c r="G94" s="47"/>
      <c r="H94" s="48" t="s">
        <v>25</v>
      </c>
      <c r="K94" t="s">
        <v>4543</v>
      </c>
      <c r="M94" t="s">
        <v>61</v>
      </c>
      <c r="N94">
        <v>4.8999999999999998E-3</v>
      </c>
      <c r="P94" s="115"/>
      <c r="Q94" s="169">
        <v>2666019</v>
      </c>
      <c r="R94" s="168" t="s">
        <v>4234</v>
      </c>
      <c r="S94" s="168">
        <f>S93</f>
        <v>58</v>
      </c>
      <c r="T94" s="168" t="s">
        <v>4624</v>
      </c>
      <c r="U94" s="168">
        <v>749</v>
      </c>
      <c r="V94" s="99">
        <f>U94*(1+$N$95+$Q$15*S94/36500)</f>
        <v>790.71416986301381</v>
      </c>
      <c r="W94" s="32">
        <f t="shared" si="18"/>
        <v>806.52845326027409</v>
      </c>
      <c r="X94" s="32">
        <f t="shared" si="19"/>
        <v>822.34273665753437</v>
      </c>
      <c r="Y94" t="s">
        <v>25</v>
      </c>
      <c r="AH94" s="20">
        <v>74</v>
      </c>
      <c r="AI94" s="117" t="s">
        <v>4509</v>
      </c>
      <c r="AJ94" s="117">
        <v>1313000</v>
      </c>
      <c r="AK94" s="20">
        <v>0</v>
      </c>
      <c r="AL94" s="99">
        <f>AL95+AK94</f>
        <v>94</v>
      </c>
      <c r="AM94" s="117">
        <f t="shared" si="10"/>
        <v>123422000</v>
      </c>
      <c r="AN94" s="20"/>
      <c r="AQ94" t="s">
        <v>25</v>
      </c>
    </row>
    <row r="95" spans="4:52">
      <c r="D95" s="32" t="s">
        <v>324</v>
      </c>
      <c r="E95" s="1">
        <v>75000</v>
      </c>
      <c r="G95" s="47">
        <f>SUM(G83:G94)</f>
        <v>2645000</v>
      </c>
      <c r="H95" s="48" t="s">
        <v>6</v>
      </c>
      <c r="K95" s="22" t="s">
        <v>4243</v>
      </c>
      <c r="M95" t="s">
        <v>6</v>
      </c>
      <c r="N95">
        <f>N93+N94</f>
        <v>1.12E-2</v>
      </c>
      <c r="O95" t="s">
        <v>25</v>
      </c>
      <c r="P95" t="s">
        <v>25</v>
      </c>
      <c r="Q95" s="35">
        <v>577500</v>
      </c>
      <c r="R95" s="5" t="s">
        <v>4234</v>
      </c>
      <c r="S95" s="5">
        <f>S94</f>
        <v>58</v>
      </c>
      <c r="T95" s="5" t="s">
        <v>4627</v>
      </c>
      <c r="U95" s="168">
        <v>175</v>
      </c>
      <c r="V95" s="99">
        <f>U95*(1+$N$95+$Q$15*S95/36500)</f>
        <v>184.74630136986303</v>
      </c>
      <c r="W95" s="32">
        <f t="shared" si="18"/>
        <v>188.44122739726029</v>
      </c>
      <c r="X95" s="32">
        <f t="shared" si="19"/>
        <v>192.13615342465755</v>
      </c>
      <c r="Y95" t="s">
        <v>25</v>
      </c>
      <c r="AH95" s="99">
        <v>75</v>
      </c>
      <c r="AI95" s="113" t="s">
        <v>4509</v>
      </c>
      <c r="AJ95" s="113">
        <v>2269000</v>
      </c>
      <c r="AK95" s="99">
        <v>1</v>
      </c>
      <c r="AL95" s="99">
        <f t="shared" ref="AL95:AL120" si="20">AL96+AK95</f>
        <v>94</v>
      </c>
      <c r="AM95" s="117">
        <f t="shared" si="10"/>
        <v>213286000</v>
      </c>
      <c r="AN95" s="99"/>
    </row>
    <row r="96" spans="4:52">
      <c r="D96" s="32" t="s">
        <v>314</v>
      </c>
      <c r="E96" s="1">
        <v>140000</v>
      </c>
      <c r="K96" t="s">
        <v>4540</v>
      </c>
      <c r="Q96" s="35">
        <v>12636487</v>
      </c>
      <c r="R96" s="5" t="s">
        <v>3691</v>
      </c>
      <c r="S96" s="5">
        <f>S95-2</f>
        <v>56</v>
      </c>
      <c r="T96" s="5" t="s">
        <v>4630</v>
      </c>
      <c r="U96" s="168">
        <v>172.1</v>
      </c>
      <c r="V96" s="99">
        <f>U96*(1+$N$95+$Q$15*S96/36500)</f>
        <v>181.42074739726027</v>
      </c>
      <c r="W96" s="32">
        <f t="shared" si="18"/>
        <v>185.04916234520547</v>
      </c>
      <c r="X96" s="32">
        <f t="shared" si="19"/>
        <v>188.67757729315068</v>
      </c>
      <c r="AH96" s="99">
        <v>76</v>
      </c>
      <c r="AI96" s="113" t="s">
        <v>4233</v>
      </c>
      <c r="AJ96" s="113">
        <v>750000</v>
      </c>
      <c r="AK96" s="99">
        <v>4</v>
      </c>
      <c r="AL96" s="99">
        <f t="shared" si="20"/>
        <v>93</v>
      </c>
      <c r="AM96" s="117">
        <f t="shared" si="10"/>
        <v>69750000</v>
      </c>
      <c r="AN96" s="99"/>
      <c r="AT96" s="96" t="s">
        <v>25</v>
      </c>
    </row>
    <row r="97" spans="4:47">
      <c r="D97" s="2" t="s">
        <v>478</v>
      </c>
      <c r="E97" s="3">
        <v>1083333</v>
      </c>
      <c r="Q97" s="169">
        <v>1210169</v>
      </c>
      <c r="R97" s="168" t="s">
        <v>4633</v>
      </c>
      <c r="S97" s="168">
        <f>S96-3</f>
        <v>53</v>
      </c>
      <c r="T97" s="168" t="s">
        <v>4634</v>
      </c>
      <c r="U97" s="168">
        <v>1204.7</v>
      </c>
      <c r="V97" s="99">
        <f>U97*(1+$N$95+$Q$15*S97/36500)</f>
        <v>1267.1727715068496</v>
      </c>
      <c r="W97" s="32">
        <f t="shared" si="18"/>
        <v>1292.5162269369866</v>
      </c>
      <c r="X97" s="32">
        <f t="shared" si="19"/>
        <v>1317.8596823671237</v>
      </c>
      <c r="Y97">
        <v>23000</v>
      </c>
      <c r="AH97" s="99">
        <v>77</v>
      </c>
      <c r="AI97" s="113" t="s">
        <v>4516</v>
      </c>
      <c r="AJ97" s="113">
        <v>1900000</v>
      </c>
      <c r="AK97" s="99">
        <v>3</v>
      </c>
      <c r="AL97" s="99">
        <f t="shared" si="20"/>
        <v>89</v>
      </c>
      <c r="AM97" s="117">
        <f t="shared" si="10"/>
        <v>169100000</v>
      </c>
      <c r="AN97" s="99"/>
    </row>
    <row r="98" spans="4:47">
      <c r="D98" s="2"/>
      <c r="E98" s="3"/>
      <c r="H98" s="96"/>
      <c r="K98" t="s">
        <v>25</v>
      </c>
      <c r="Q98" s="39">
        <v>11121445</v>
      </c>
      <c r="R98" s="5" t="s">
        <v>4633</v>
      </c>
      <c r="S98" s="5">
        <f>S97</f>
        <v>53</v>
      </c>
      <c r="T98" s="5" t="s">
        <v>4874</v>
      </c>
      <c r="U98" s="168">
        <v>171.8</v>
      </c>
      <c r="V98" s="99">
        <f>U98*(1+$N$95+$Q$15*S98/36500)</f>
        <v>180.70912438356169</v>
      </c>
      <c r="W98" s="32">
        <f t="shared" si="18"/>
        <v>184.32330687123292</v>
      </c>
      <c r="X98" s="32">
        <f t="shared" si="19"/>
        <v>187.93748935890417</v>
      </c>
      <c r="Y98">
        <v>6000</v>
      </c>
      <c r="AH98" s="99">
        <v>78</v>
      </c>
      <c r="AI98" s="113" t="s">
        <v>4529</v>
      </c>
      <c r="AJ98" s="113">
        <v>6400000</v>
      </c>
      <c r="AK98" s="99">
        <v>1</v>
      </c>
      <c r="AL98" s="99">
        <f t="shared" si="20"/>
        <v>86</v>
      </c>
      <c r="AM98" s="117">
        <f t="shared" si="10"/>
        <v>550400000</v>
      </c>
      <c r="AN98" s="99"/>
    </row>
    <row r="99" spans="4:47">
      <c r="D99" s="2"/>
      <c r="E99" s="3"/>
      <c r="F99" s="96"/>
      <c r="G99" s="96"/>
      <c r="H99" s="96"/>
      <c r="I99" s="99"/>
      <c r="J99" s="99"/>
      <c r="K99" s="99" t="s">
        <v>4908</v>
      </c>
      <c r="M99" s="194" t="s">
        <v>4539</v>
      </c>
      <c r="Q99" s="35">
        <v>8978273</v>
      </c>
      <c r="R99" s="5" t="s">
        <v>4638</v>
      </c>
      <c r="S99" s="5">
        <f>S98-1</f>
        <v>52</v>
      </c>
      <c r="T99" s="5" t="s">
        <v>4639</v>
      </c>
      <c r="U99" s="168">
        <v>3405.9</v>
      </c>
      <c r="V99" s="99">
        <f>U99*(1+$N$95+$Q$15*S99/36500)</f>
        <v>3579.9088306849317</v>
      </c>
      <c r="W99" s="32">
        <f t="shared" ref="W99:W143" si="21">V99*(1+$W$19/100)</f>
        <v>3651.5070072986305</v>
      </c>
      <c r="X99" s="32">
        <f t="shared" ref="X99:X143" si="22">V99*(1+$X$19/100)</f>
        <v>3723.1051839123293</v>
      </c>
      <c r="AH99" s="99">
        <v>79</v>
      </c>
      <c r="AI99" s="113" t="s">
        <v>4527</v>
      </c>
      <c r="AJ99" s="113">
        <v>5000</v>
      </c>
      <c r="AK99" s="99">
        <v>5</v>
      </c>
      <c r="AL99" s="99">
        <f t="shared" si="20"/>
        <v>85</v>
      </c>
      <c r="AM99" s="117">
        <f t="shared" si="10"/>
        <v>425000</v>
      </c>
      <c r="AN99" s="99"/>
      <c r="AP99" t="s">
        <v>25</v>
      </c>
    </row>
    <row r="100" spans="4:47">
      <c r="D100" s="2" t="s">
        <v>6</v>
      </c>
      <c r="E100" s="3">
        <f>SUM(E77:E98)</f>
        <v>3383333</v>
      </c>
      <c r="I100" s="99"/>
      <c r="J100" s="99">
        <v>16</v>
      </c>
      <c r="K100" s="99" t="s">
        <v>4933</v>
      </c>
      <c r="M100" t="s">
        <v>4540</v>
      </c>
      <c r="Q100" s="169">
        <v>1013762</v>
      </c>
      <c r="R100" s="168" t="s">
        <v>4638</v>
      </c>
      <c r="S100" s="168">
        <f>S99</f>
        <v>52</v>
      </c>
      <c r="T100" s="168" t="s">
        <v>4641</v>
      </c>
      <c r="U100" s="168">
        <v>217.1</v>
      </c>
      <c r="V100" s="99">
        <f>U100*(1+$N$95+$Q$15*S100/36500)</f>
        <v>228.19172821917806</v>
      </c>
      <c r="W100" s="32">
        <f t="shared" si="21"/>
        <v>232.75556278356163</v>
      </c>
      <c r="X100" s="32">
        <f t="shared" si="22"/>
        <v>237.3193973479452</v>
      </c>
      <c r="Y100">
        <v>3300</v>
      </c>
      <c r="AH100" s="99">
        <v>80</v>
      </c>
      <c r="AI100" s="113" t="s">
        <v>4560</v>
      </c>
      <c r="AJ100" s="113">
        <v>-1750148</v>
      </c>
      <c r="AK100" s="99">
        <v>1</v>
      </c>
      <c r="AL100" s="99">
        <f t="shared" si="20"/>
        <v>80</v>
      </c>
      <c r="AM100" s="117">
        <f t="shared" si="10"/>
        <v>-140011840</v>
      </c>
      <c r="AN100" s="99"/>
    </row>
    <row r="101" spans="4:47">
      <c r="D101" s="2" t="s">
        <v>328</v>
      </c>
      <c r="E101" s="3">
        <f>E100/30</f>
        <v>112777.76666666666</v>
      </c>
      <c r="F101" s="96"/>
      <c r="G101" s="96"/>
      <c r="H101" s="96"/>
      <c r="I101" s="99">
        <v>1</v>
      </c>
      <c r="J101" s="99">
        <v>3</v>
      </c>
      <c r="K101" s="99" t="s">
        <v>4932</v>
      </c>
      <c r="M101" t="s">
        <v>4543</v>
      </c>
      <c r="Q101" s="169">
        <v>12953846</v>
      </c>
      <c r="R101" s="168" t="s">
        <v>4638</v>
      </c>
      <c r="S101" s="168">
        <f>S100</f>
        <v>52</v>
      </c>
      <c r="T101" s="168" t="s">
        <v>4761</v>
      </c>
      <c r="U101" s="168">
        <v>4500.5</v>
      </c>
      <c r="V101" s="99">
        <f>U101*(1+$N$95+$Q$15*S101/36500)</f>
        <v>4730.4323945205479</v>
      </c>
      <c r="W101" s="32">
        <f t="shared" si="21"/>
        <v>4825.0410424109587</v>
      </c>
      <c r="X101" s="32">
        <f t="shared" si="22"/>
        <v>4919.6496903013704</v>
      </c>
      <c r="Y101" t="s">
        <v>25</v>
      </c>
      <c r="AH101" s="99">
        <v>81</v>
      </c>
      <c r="AI101" s="113" t="s">
        <v>4563</v>
      </c>
      <c r="AJ101" s="113">
        <v>400000</v>
      </c>
      <c r="AK101" s="99">
        <v>0</v>
      </c>
      <c r="AL101" s="99">
        <f t="shared" si="20"/>
        <v>79</v>
      </c>
      <c r="AM101" s="117">
        <f t="shared" si="10"/>
        <v>31600000</v>
      </c>
      <c r="AN101" s="99"/>
    </row>
    <row r="102" spans="4:47">
      <c r="F102" s="96"/>
      <c r="G102" s="96"/>
      <c r="H102" s="96"/>
      <c r="I102" s="99"/>
      <c r="J102" s="99">
        <v>3</v>
      </c>
      <c r="K102" s="99" t="s">
        <v>4929</v>
      </c>
      <c r="M102" t="s">
        <v>4544</v>
      </c>
      <c r="Q102" s="35">
        <v>4068640</v>
      </c>
      <c r="R102" s="5" t="s">
        <v>4645</v>
      </c>
      <c r="S102" s="5">
        <f>S101-1</f>
        <v>51</v>
      </c>
      <c r="T102" s="5" t="s">
        <v>4646</v>
      </c>
      <c r="U102" s="168">
        <v>3322.3</v>
      </c>
      <c r="V102" s="99">
        <f>U102*(1+$N$95+$Q$15*S102/36500)</f>
        <v>3489.4890586301376</v>
      </c>
      <c r="W102" s="32">
        <f t="shared" si="21"/>
        <v>3559.2788398027405</v>
      </c>
      <c r="X102" s="32">
        <f t="shared" si="22"/>
        <v>3629.068620975343</v>
      </c>
      <c r="AH102" s="99">
        <v>82</v>
      </c>
      <c r="AI102" s="113" t="s">
        <v>4563</v>
      </c>
      <c r="AJ102" s="113">
        <v>-2105421</v>
      </c>
      <c r="AK102" s="99">
        <v>1</v>
      </c>
      <c r="AL102" s="99">
        <f t="shared" si="20"/>
        <v>79</v>
      </c>
      <c r="AM102" s="117">
        <f t="shared" si="10"/>
        <v>-166328259</v>
      </c>
      <c r="AN102" s="99"/>
      <c r="AO102" t="s">
        <v>25</v>
      </c>
    </row>
    <row r="103" spans="4:47">
      <c r="F103" s="96"/>
      <c r="G103" s="96"/>
      <c r="H103" s="96"/>
      <c r="I103" s="99"/>
      <c r="J103" s="99">
        <v>1</v>
      </c>
      <c r="K103" s="99" t="s">
        <v>4930</v>
      </c>
      <c r="Q103" s="35">
        <v>12656982</v>
      </c>
      <c r="R103" s="5" t="s">
        <v>4645</v>
      </c>
      <c r="S103" s="5">
        <f>S102</f>
        <v>51</v>
      </c>
      <c r="T103" s="5" t="s">
        <v>4647</v>
      </c>
      <c r="U103" s="168">
        <v>5249.9</v>
      </c>
      <c r="V103" s="99">
        <f>U103*(1+$N$95+$Q$15*S103/36500)</f>
        <v>5514.0922279452052</v>
      </c>
      <c r="W103" s="32">
        <f t="shared" si="21"/>
        <v>5624.3740725041098</v>
      </c>
      <c r="X103" s="32">
        <f t="shared" si="22"/>
        <v>5734.6559170630135</v>
      </c>
      <c r="AH103" s="99">
        <v>83</v>
      </c>
      <c r="AI103" s="113" t="s">
        <v>4568</v>
      </c>
      <c r="AJ103" s="113">
        <v>-5527618</v>
      </c>
      <c r="AK103" s="99">
        <v>0</v>
      </c>
      <c r="AL103" s="99">
        <f t="shared" si="20"/>
        <v>78</v>
      </c>
      <c r="AM103" s="117">
        <f t="shared" si="10"/>
        <v>-431154204</v>
      </c>
      <c r="AN103" s="99"/>
    </row>
    <row r="104" spans="4:47">
      <c r="F104" s="96"/>
      <c r="G104" s="96"/>
      <c r="H104" s="96"/>
      <c r="I104" s="99"/>
      <c r="J104" s="99">
        <v>1</v>
      </c>
      <c r="K104" s="99" t="s">
        <v>4931</v>
      </c>
      <c r="Q104" s="169">
        <v>100905</v>
      </c>
      <c r="R104" s="168" t="s">
        <v>4648</v>
      </c>
      <c r="S104" s="168">
        <f>S103-1</f>
        <v>50</v>
      </c>
      <c r="T104" s="168" t="s">
        <v>4654</v>
      </c>
      <c r="U104" s="168">
        <v>372</v>
      </c>
      <c r="V104" s="99">
        <f>U104*(1+$N$95+$Q$15*S104/36500)</f>
        <v>390.43489315068501</v>
      </c>
      <c r="W104" s="32">
        <f t="shared" si="21"/>
        <v>398.24359101369873</v>
      </c>
      <c r="X104" s="32">
        <f t="shared" si="22"/>
        <v>406.05228887671245</v>
      </c>
      <c r="AH104" s="99">
        <v>84</v>
      </c>
      <c r="AI104" s="113" t="s">
        <v>4568</v>
      </c>
      <c r="AJ104" s="113">
        <v>3900000</v>
      </c>
      <c r="AK104" s="99">
        <v>3</v>
      </c>
      <c r="AL104" s="99">
        <f t="shared" si="20"/>
        <v>78</v>
      </c>
      <c r="AM104" s="117">
        <f t="shared" si="10"/>
        <v>304200000</v>
      </c>
      <c r="AN104" s="99"/>
    </row>
    <row r="105" spans="4:47">
      <c r="F105" s="96"/>
      <c r="G105" s="96"/>
      <c r="H105" s="96"/>
      <c r="I105" s="99"/>
      <c r="J105" s="99">
        <v>1</v>
      </c>
      <c r="K105" s="99" t="s">
        <v>4934</v>
      </c>
      <c r="Q105" s="35">
        <v>48637534</v>
      </c>
      <c r="R105" s="5" t="s">
        <v>4648</v>
      </c>
      <c r="S105" s="5">
        <f>S104</f>
        <v>50</v>
      </c>
      <c r="T105" s="5" t="s">
        <v>4652</v>
      </c>
      <c r="U105" s="168">
        <v>5330</v>
      </c>
      <c r="V105" s="99">
        <f>U105*(1+$N$95+$Q$15*S105/36500)</f>
        <v>5594.1343561643844</v>
      </c>
      <c r="W105" s="32">
        <f t="shared" si="21"/>
        <v>5706.0170432876721</v>
      </c>
      <c r="X105" s="32">
        <f t="shared" si="22"/>
        <v>5817.8997304109598</v>
      </c>
      <c r="AH105" s="99">
        <v>85</v>
      </c>
      <c r="AI105" s="113" t="s">
        <v>4569</v>
      </c>
      <c r="AJ105" s="113">
        <v>-3969754</v>
      </c>
      <c r="AK105" s="99">
        <v>1</v>
      </c>
      <c r="AL105" s="99">
        <f t="shared" si="20"/>
        <v>75</v>
      </c>
      <c r="AM105" s="117">
        <f t="shared" si="10"/>
        <v>-297731550</v>
      </c>
      <c r="AN105" s="99"/>
    </row>
    <row r="106" spans="4:47">
      <c r="F106" s="96"/>
      <c r="G106" s="96"/>
      <c r="H106" s="96"/>
      <c r="I106" s="99">
        <v>1</v>
      </c>
      <c r="J106" s="99">
        <v>3</v>
      </c>
      <c r="K106" s="99" t="s">
        <v>4927</v>
      </c>
      <c r="Q106" s="35">
        <v>40048573</v>
      </c>
      <c r="R106" s="5" t="s">
        <v>4648</v>
      </c>
      <c r="S106" s="5">
        <f>S105</f>
        <v>50</v>
      </c>
      <c r="T106" s="5" t="s">
        <v>4653</v>
      </c>
      <c r="U106" s="168">
        <v>498.9</v>
      </c>
      <c r="V106" s="99">
        <f>U106*(1+$N$95+$Q$15*S106/36500)</f>
        <v>523.62357041095891</v>
      </c>
      <c r="W106" s="32">
        <f t="shared" si="21"/>
        <v>534.09604181917814</v>
      </c>
      <c r="X106" s="32">
        <f t="shared" si="22"/>
        <v>544.56851322739726</v>
      </c>
      <c r="Y106" t="s">
        <v>25</v>
      </c>
      <c r="AH106" s="99">
        <v>86</v>
      </c>
      <c r="AI106" s="113" t="s">
        <v>4581</v>
      </c>
      <c r="AJ106" s="113">
        <v>-25574455</v>
      </c>
      <c r="AK106" s="99">
        <v>0</v>
      </c>
      <c r="AL106" s="99">
        <f t="shared" si="20"/>
        <v>74</v>
      </c>
      <c r="AM106" s="117">
        <f t="shared" si="10"/>
        <v>-1892509670</v>
      </c>
      <c r="AN106" s="99"/>
      <c r="AP106" t="s">
        <v>25</v>
      </c>
    </row>
    <row r="107" spans="4:47">
      <c r="F107" s="96"/>
      <c r="G107" s="96"/>
      <c r="H107" s="96"/>
      <c r="I107" s="99"/>
      <c r="J107" s="99">
        <v>4</v>
      </c>
      <c r="K107" s="99" t="s">
        <v>4928</v>
      </c>
      <c r="P107" s="115"/>
      <c r="Q107" s="169">
        <v>1000495</v>
      </c>
      <c r="R107" s="168" t="s">
        <v>4664</v>
      </c>
      <c r="S107" s="168">
        <f>S106-1</f>
        <v>49</v>
      </c>
      <c r="T107" s="168" t="s">
        <v>4731</v>
      </c>
      <c r="U107" s="168">
        <v>724.8</v>
      </c>
      <c r="V107" s="99">
        <f>U107*(1+$N$95+$Q$15*S107/36500)</f>
        <v>760.16229698630139</v>
      </c>
      <c r="W107" s="32">
        <f t="shared" si="21"/>
        <v>775.36554292602739</v>
      </c>
      <c r="X107" s="32">
        <f t="shared" si="22"/>
        <v>790.5687888657535</v>
      </c>
      <c r="AH107" s="99">
        <v>87</v>
      </c>
      <c r="AI107" s="113" t="s">
        <v>4581</v>
      </c>
      <c r="AJ107" s="113">
        <v>4000000</v>
      </c>
      <c r="AK107" s="99">
        <v>1</v>
      </c>
      <c r="AL107" s="99">
        <f t="shared" si="20"/>
        <v>74</v>
      </c>
      <c r="AM107" s="117">
        <f t="shared" si="10"/>
        <v>296000000</v>
      </c>
      <c r="AN107" s="99"/>
    </row>
    <row r="108" spans="4:47">
      <c r="F108" s="96"/>
      <c r="G108" s="96"/>
      <c r="H108" s="96"/>
      <c r="I108" s="96"/>
      <c r="J108" s="96"/>
      <c r="L108" s="96"/>
      <c r="M108" s="96"/>
      <c r="N108" s="96"/>
      <c r="P108" s="128"/>
      <c r="Q108" s="35">
        <v>37856769</v>
      </c>
      <c r="R108" s="5" t="s">
        <v>4664</v>
      </c>
      <c r="S108" s="5">
        <f>S107</f>
        <v>49</v>
      </c>
      <c r="T108" s="5" t="s">
        <v>4666</v>
      </c>
      <c r="U108" s="168">
        <v>5393.6</v>
      </c>
      <c r="V108" s="99">
        <f>U108*(1+$N$95+$Q$15*S108/36500)</f>
        <v>5656.7485720547947</v>
      </c>
      <c r="W108" s="32">
        <f t="shared" si="21"/>
        <v>5769.883543495891</v>
      </c>
      <c r="X108" s="32">
        <f t="shared" si="22"/>
        <v>5883.0185149369863</v>
      </c>
      <c r="AH108" s="99">
        <v>88</v>
      </c>
      <c r="AI108" s="113" t="s">
        <v>994</v>
      </c>
      <c r="AJ108" s="113">
        <v>-5000000</v>
      </c>
      <c r="AK108" s="99">
        <v>2</v>
      </c>
      <c r="AL108" s="99">
        <f t="shared" si="20"/>
        <v>73</v>
      </c>
      <c r="AM108" s="117">
        <f t="shared" si="10"/>
        <v>-365000000</v>
      </c>
      <c r="AN108" s="99"/>
    </row>
    <row r="109" spans="4:47">
      <c r="P109" s="128"/>
      <c r="Q109" s="35">
        <v>155151</v>
      </c>
      <c r="R109" s="5" t="s">
        <v>4675</v>
      </c>
      <c r="S109" s="5">
        <f>S108-3</f>
        <v>46</v>
      </c>
      <c r="T109" s="5" t="s">
        <v>4677</v>
      </c>
      <c r="U109" s="168">
        <v>5325.9</v>
      </c>
      <c r="V109" s="99">
        <f>U109*(1+$N$95+$Q$15*S109/36500)</f>
        <v>5573.4886882191777</v>
      </c>
      <c r="W109" s="32">
        <f t="shared" si="21"/>
        <v>5684.9584619835614</v>
      </c>
      <c r="X109" s="32">
        <f t="shared" si="22"/>
        <v>5796.4282357479451</v>
      </c>
      <c r="AD109" s="96"/>
      <c r="AE109"/>
      <c r="AF109"/>
      <c r="AH109" s="99">
        <v>89</v>
      </c>
      <c r="AI109" s="113" t="s">
        <v>4586</v>
      </c>
      <c r="AJ109" s="113">
        <v>10000000</v>
      </c>
      <c r="AK109" s="99">
        <v>4</v>
      </c>
      <c r="AL109" s="99">
        <f t="shared" si="20"/>
        <v>71</v>
      </c>
      <c r="AM109" s="117">
        <f t="shared" si="10"/>
        <v>710000000</v>
      </c>
      <c r="AN109" s="99"/>
    </row>
    <row r="110" spans="4:47">
      <c r="P110" s="115"/>
      <c r="Q110" s="169">
        <v>109726</v>
      </c>
      <c r="R110" s="168" t="s">
        <v>4675</v>
      </c>
      <c r="S110" s="168">
        <f>S109</f>
        <v>46</v>
      </c>
      <c r="T110" s="168" t="s">
        <v>4678</v>
      </c>
      <c r="U110" s="168">
        <v>3900.7</v>
      </c>
      <c r="V110" s="99">
        <f>U110*(1+$N$95+$Q$15*S110/36500)</f>
        <v>4082.0344591780822</v>
      </c>
      <c r="W110" s="32">
        <f t="shared" si="21"/>
        <v>4163.6751483616436</v>
      </c>
      <c r="X110" s="32">
        <f t="shared" si="22"/>
        <v>4245.3158375452058</v>
      </c>
      <c r="AH110" s="99">
        <v>90</v>
      </c>
      <c r="AI110" s="113" t="s">
        <v>4588</v>
      </c>
      <c r="AJ110" s="113">
        <v>-5241937</v>
      </c>
      <c r="AK110" s="99">
        <v>0</v>
      </c>
      <c r="AL110" s="99">
        <f t="shared" si="20"/>
        <v>67</v>
      </c>
      <c r="AM110" s="117">
        <f t="shared" si="10"/>
        <v>-351209779</v>
      </c>
      <c r="AN110" s="99"/>
    </row>
    <row r="111" spans="4:47">
      <c r="F111" s="217" t="s">
        <v>4730</v>
      </c>
      <c r="G111" s="217" t="s">
        <v>941</v>
      </c>
      <c r="H111" s="217" t="s">
        <v>4709</v>
      </c>
      <c r="I111" s="217" t="s">
        <v>4708</v>
      </c>
      <c r="J111" s="32" t="s">
        <v>4545</v>
      </c>
      <c r="K111" s="217" t="s">
        <v>4697</v>
      </c>
      <c r="L111" s="32" t="s">
        <v>4699</v>
      </c>
      <c r="M111" s="32" t="s">
        <v>4667</v>
      </c>
      <c r="N111" s="217" t="s">
        <v>4668</v>
      </c>
      <c r="Q111" s="35">
        <v>8938737</v>
      </c>
      <c r="R111" s="5" t="s">
        <v>4681</v>
      </c>
      <c r="S111" s="5">
        <f>S110-1</f>
        <v>45</v>
      </c>
      <c r="T111" s="5" t="s">
        <v>4683</v>
      </c>
      <c r="U111" s="168">
        <v>5179.5</v>
      </c>
      <c r="V111" s="99">
        <f>U111*(1+$N$95+$Q$15*S111/36500)</f>
        <v>5416.3095780821923</v>
      </c>
      <c r="W111" s="32">
        <f t="shared" si="21"/>
        <v>5524.6357696438363</v>
      </c>
      <c r="X111" s="32">
        <f t="shared" si="22"/>
        <v>5632.9619612054803</v>
      </c>
      <c r="AH111" s="99">
        <v>91</v>
      </c>
      <c r="AI111" s="113" t="s">
        <v>4588</v>
      </c>
      <c r="AJ111" s="113">
        <v>21900000</v>
      </c>
      <c r="AK111" s="99">
        <v>2</v>
      </c>
      <c r="AL111" s="99">
        <f t="shared" si="20"/>
        <v>67</v>
      </c>
      <c r="AM111" s="117">
        <f t="shared" si="10"/>
        <v>1467300000</v>
      </c>
      <c r="AN111" s="99"/>
      <c r="AP111" t="s">
        <v>25</v>
      </c>
      <c r="AU111"/>
    </row>
    <row r="112" spans="4:47">
      <c r="F112" s="200">
        <f>$L$123/G112</f>
        <v>24684.873949579833</v>
      </c>
      <c r="G112" s="200">
        <f>P62</f>
        <v>190.4</v>
      </c>
      <c r="H112" s="200" t="s">
        <v>4861</v>
      </c>
      <c r="I112" s="200" t="s">
        <v>4860</v>
      </c>
      <c r="J112" s="218" t="s">
        <v>4243</v>
      </c>
      <c r="K112" s="200">
        <v>60</v>
      </c>
      <c r="L112" s="219">
        <f>K112*$L$123</f>
        <v>282000000</v>
      </c>
      <c r="M112" s="219">
        <f>N21+N36+N62</f>
        <v>258230380.80000001</v>
      </c>
      <c r="N112" s="184">
        <f t="shared" ref="N112:N120" si="23">L112-M112</f>
        <v>23769619.199999988</v>
      </c>
      <c r="Q112" s="35">
        <v>2595417</v>
      </c>
      <c r="R112" s="5" t="s">
        <v>4691</v>
      </c>
      <c r="S112" s="5">
        <f>S111-1</f>
        <v>44</v>
      </c>
      <c r="T112" s="5" t="s">
        <v>4692</v>
      </c>
      <c r="U112" s="168">
        <v>4803</v>
      </c>
      <c r="V112" s="99">
        <f>U112*(1+$N$95+$Q$15*S112/36500)</f>
        <v>5018.911298630137</v>
      </c>
      <c r="W112" s="32">
        <f t="shared" si="21"/>
        <v>5119.2895246027401</v>
      </c>
      <c r="X112" s="32">
        <f t="shared" si="22"/>
        <v>5219.6677505753423</v>
      </c>
      <c r="AH112" s="99">
        <v>92</v>
      </c>
      <c r="AI112" s="113" t="s">
        <v>4598</v>
      </c>
      <c r="AJ112" s="113">
        <v>-15000000</v>
      </c>
      <c r="AK112" s="99">
        <v>0</v>
      </c>
      <c r="AL112" s="99">
        <f t="shared" si="20"/>
        <v>65</v>
      </c>
      <c r="AM112" s="117">
        <f t="shared" si="10"/>
        <v>-975000000</v>
      </c>
      <c r="AN112" s="99"/>
      <c r="AO112" t="s">
        <v>25</v>
      </c>
    </row>
    <row r="113" spans="6:46">
      <c r="F113" s="217">
        <f>$L$123/G113</f>
        <v>865.88061901252763</v>
      </c>
      <c r="G113" s="217">
        <f>P54</f>
        <v>5428</v>
      </c>
      <c r="H113" s="217" t="s">
        <v>4713</v>
      </c>
      <c r="I113" s="217" t="s">
        <v>4712</v>
      </c>
      <c r="J113" s="32" t="s">
        <v>4395</v>
      </c>
      <c r="K113" s="217">
        <v>33</v>
      </c>
      <c r="L113" s="1">
        <f>K113*$L$123</f>
        <v>155100000</v>
      </c>
      <c r="M113" s="1">
        <f>N28+N54+N31</f>
        <v>166742732</v>
      </c>
      <c r="N113" s="113">
        <f t="shared" si="23"/>
        <v>-11642732</v>
      </c>
      <c r="Q113" s="169">
        <v>2505816</v>
      </c>
      <c r="R113" s="168" t="s">
        <v>4691</v>
      </c>
      <c r="S113" s="168">
        <f>S112</f>
        <v>44</v>
      </c>
      <c r="T113" s="168" t="s">
        <v>4693</v>
      </c>
      <c r="U113" s="168">
        <v>3723</v>
      </c>
      <c r="V113" s="99">
        <f>U113*(1+$N$95+$Q$15*S113/36500)</f>
        <v>3890.3616000000002</v>
      </c>
      <c r="W113" s="32">
        <f t="shared" si="21"/>
        <v>3968.1688320000003</v>
      </c>
      <c r="X113" s="32">
        <f t="shared" si="22"/>
        <v>4045.9760640000004</v>
      </c>
      <c r="Y113" t="s">
        <v>25</v>
      </c>
      <c r="AH113" s="99">
        <v>93</v>
      </c>
      <c r="AI113" s="113" t="s">
        <v>4598</v>
      </c>
      <c r="AJ113" s="113">
        <v>3000000</v>
      </c>
      <c r="AK113" s="99">
        <v>1</v>
      </c>
      <c r="AL113" s="99">
        <f t="shared" si="20"/>
        <v>65</v>
      </c>
      <c r="AM113" s="117">
        <f t="shared" si="10"/>
        <v>195000000</v>
      </c>
      <c r="AN113" s="99"/>
      <c r="AR113" s="96"/>
      <c r="AS113" s="96"/>
      <c r="AT113"/>
    </row>
    <row r="114" spans="6:46">
      <c r="F114" s="200">
        <f>$L$123/G114</f>
        <v>1389.5458845789972</v>
      </c>
      <c r="G114" s="200">
        <f>P49</f>
        <v>3382.4</v>
      </c>
      <c r="H114" s="200" t="s">
        <v>3881</v>
      </c>
      <c r="I114" s="200" t="s">
        <v>4714</v>
      </c>
      <c r="J114" s="218" t="s">
        <v>4391</v>
      </c>
      <c r="K114" s="200">
        <v>31</v>
      </c>
      <c r="L114" s="219">
        <f>K114*$L$123</f>
        <v>145700000</v>
      </c>
      <c r="M114" s="219">
        <f>N49+N32+N22</f>
        <v>156172172.80000001</v>
      </c>
      <c r="N114" s="184">
        <f t="shared" si="23"/>
        <v>-10472172.800000012</v>
      </c>
      <c r="Q114" s="169">
        <v>183283</v>
      </c>
      <c r="R114" s="214" t="s">
        <v>4695</v>
      </c>
      <c r="S114" s="214">
        <f>S113-1</f>
        <v>43</v>
      </c>
      <c r="T114" s="214" t="s">
        <v>4706</v>
      </c>
      <c r="U114" s="214">
        <v>347.5</v>
      </c>
      <c r="V114" s="99">
        <f>U114*(1+$N$95+$Q$15*S114/36500)</f>
        <v>362.85473972602745</v>
      </c>
      <c r="W114" s="32">
        <f t="shared" si="21"/>
        <v>370.11183452054803</v>
      </c>
      <c r="X114" s="32">
        <f t="shared" si="22"/>
        <v>377.36892931506856</v>
      </c>
      <c r="AH114" s="99">
        <v>94</v>
      </c>
      <c r="AI114" s="113" t="s">
        <v>4602</v>
      </c>
      <c r="AJ114" s="113">
        <v>-2103736</v>
      </c>
      <c r="AK114" s="99">
        <v>0</v>
      </c>
      <c r="AL114" s="99">
        <f t="shared" si="20"/>
        <v>64</v>
      </c>
      <c r="AM114" s="117">
        <f t="shared" si="10"/>
        <v>-134639104</v>
      </c>
      <c r="AN114" s="99"/>
    </row>
    <row r="115" spans="6:46">
      <c r="F115" s="217">
        <f>$L$123/G115</f>
        <v>8012.2741220593243</v>
      </c>
      <c r="G115" s="217">
        <f>P55</f>
        <v>586.6</v>
      </c>
      <c r="H115" s="217" t="s">
        <v>4711</v>
      </c>
      <c r="I115" s="217" t="s">
        <v>4710</v>
      </c>
      <c r="J115" s="32" t="s">
        <v>4410</v>
      </c>
      <c r="K115" s="217">
        <v>30</v>
      </c>
      <c r="L115" s="1">
        <f>K115*$L$123</f>
        <v>141000000</v>
      </c>
      <c r="M115" s="1">
        <f>N55+N25+N34</f>
        <v>147661885</v>
      </c>
      <c r="N115" s="113">
        <f t="shared" si="23"/>
        <v>-6661885</v>
      </c>
      <c r="Q115" s="169">
        <v>177438</v>
      </c>
      <c r="R115" s="214" t="s">
        <v>4695</v>
      </c>
      <c r="S115" s="214">
        <f t="shared" ref="S115:S118" si="24">S114</f>
        <v>43</v>
      </c>
      <c r="T115" s="214" t="s">
        <v>4702</v>
      </c>
      <c r="U115" s="214">
        <v>207.3</v>
      </c>
      <c r="V115" s="99">
        <f>U115*(1+$N$95+$Q$15*S115/36500)</f>
        <v>216.45982027397264</v>
      </c>
      <c r="W115" s="32">
        <f t="shared" si="21"/>
        <v>220.78901667945209</v>
      </c>
      <c r="X115" s="32">
        <f t="shared" si="22"/>
        <v>225.11821308493154</v>
      </c>
      <c r="AH115" s="99">
        <v>95</v>
      </c>
      <c r="AI115" s="113" t="s">
        <v>4602</v>
      </c>
      <c r="AJ115" s="113">
        <v>220000</v>
      </c>
      <c r="AK115" s="99">
        <v>3</v>
      </c>
      <c r="AL115" s="99">
        <f t="shared" si="20"/>
        <v>64</v>
      </c>
      <c r="AM115" s="117">
        <f t="shared" si="10"/>
        <v>14080000</v>
      </c>
      <c r="AN115" s="99"/>
    </row>
    <row r="116" spans="6:46">
      <c r="F116" s="200">
        <f>$L$123/G116</f>
        <v>919.40532081377148</v>
      </c>
      <c r="G116" s="200">
        <f>P57</f>
        <v>5112</v>
      </c>
      <c r="H116" s="200" t="s">
        <v>4715</v>
      </c>
      <c r="I116" s="200" t="s">
        <v>4714</v>
      </c>
      <c r="J116" s="218" t="s">
        <v>4541</v>
      </c>
      <c r="K116" s="200">
        <v>18</v>
      </c>
      <c r="L116" s="219">
        <f>K116*$L$123</f>
        <v>84600000</v>
      </c>
      <c r="M116" s="219">
        <f>N57</f>
        <v>14891256</v>
      </c>
      <c r="N116" s="184">
        <f t="shared" si="23"/>
        <v>69708744</v>
      </c>
      <c r="Q116" s="35">
        <v>559461</v>
      </c>
      <c r="R116" s="5" t="s">
        <v>4695</v>
      </c>
      <c r="S116" s="5">
        <f t="shared" si="24"/>
        <v>43</v>
      </c>
      <c r="T116" s="5" t="s">
        <v>4703</v>
      </c>
      <c r="U116" s="214">
        <v>508.1</v>
      </c>
      <c r="V116" s="99">
        <f>U116*(1+$N$95+$Q$15*S116/36500)</f>
        <v>530.55105972602746</v>
      </c>
      <c r="W116" s="32">
        <f t="shared" si="21"/>
        <v>541.16208092054796</v>
      </c>
      <c r="X116" s="32">
        <f t="shared" si="22"/>
        <v>551.77310211506858</v>
      </c>
      <c r="Y116" t="s">
        <v>25</v>
      </c>
      <c r="AH116" s="99">
        <v>96</v>
      </c>
      <c r="AI116" s="113" t="s">
        <v>4612</v>
      </c>
      <c r="AJ116" s="113">
        <v>4000000</v>
      </c>
      <c r="AK116" s="99">
        <v>1</v>
      </c>
      <c r="AL116" s="99">
        <f t="shared" si="20"/>
        <v>61</v>
      </c>
      <c r="AM116" s="117">
        <f t="shared" si="10"/>
        <v>244000000</v>
      </c>
      <c r="AN116" s="99"/>
    </row>
    <row r="117" spans="6:46">
      <c r="F117" s="217">
        <f>$L$123/G117</f>
        <v>1126.4230077890952</v>
      </c>
      <c r="G117" s="217">
        <f>P56</f>
        <v>4172.5</v>
      </c>
      <c r="H117" s="217" t="s">
        <v>4716</v>
      </c>
      <c r="I117" s="217" t="s">
        <v>4717</v>
      </c>
      <c r="J117" s="32" t="s">
        <v>4542</v>
      </c>
      <c r="K117" s="217">
        <v>19</v>
      </c>
      <c r="L117" s="1">
        <f>K117*$L$123</f>
        <v>89300000</v>
      </c>
      <c r="M117" s="1">
        <f>N56+N26</f>
        <v>88644762.5</v>
      </c>
      <c r="N117" s="113">
        <f t="shared" si="23"/>
        <v>655237.5</v>
      </c>
      <c r="Q117" s="35">
        <v>9376000</v>
      </c>
      <c r="R117" s="5" t="s">
        <v>4695</v>
      </c>
      <c r="S117" s="5">
        <f>S116</f>
        <v>43</v>
      </c>
      <c r="T117" s="5" t="s">
        <v>4704</v>
      </c>
      <c r="U117" s="214">
        <v>3184.1</v>
      </c>
      <c r="V117" s="99">
        <f>U117*(1+$N$95+$Q$15*S117/36500)</f>
        <v>3324.7936021917812</v>
      </c>
      <c r="W117" s="32">
        <f t="shared" si="21"/>
        <v>3391.289474235617</v>
      </c>
      <c r="X117" s="32">
        <f t="shared" si="22"/>
        <v>3457.7853462794528</v>
      </c>
      <c r="Y117" t="s">
        <v>25</v>
      </c>
      <c r="AH117" s="99">
        <v>97</v>
      </c>
      <c r="AI117" s="113" t="s">
        <v>4618</v>
      </c>
      <c r="AJ117" s="113">
        <v>-9000000</v>
      </c>
      <c r="AK117" s="99">
        <v>0</v>
      </c>
      <c r="AL117" s="99">
        <f t="shared" si="20"/>
        <v>60</v>
      </c>
      <c r="AM117" s="117">
        <f t="shared" si="10"/>
        <v>-540000000</v>
      </c>
      <c r="AN117" s="99"/>
      <c r="AP117" t="s">
        <v>25</v>
      </c>
      <c r="AQ117" t="s">
        <v>25</v>
      </c>
    </row>
    <row r="118" spans="6:46">
      <c r="F118" s="200"/>
      <c r="G118" s="200"/>
      <c r="H118" s="233">
        <v>35433</v>
      </c>
      <c r="I118" s="200" t="s">
        <v>4712</v>
      </c>
      <c r="J118" s="218" t="s">
        <v>4623</v>
      </c>
      <c r="K118" s="200">
        <v>0.75</v>
      </c>
      <c r="L118" s="219">
        <f>K118*$L$123</f>
        <v>3525000</v>
      </c>
      <c r="M118" s="219">
        <f>N58</f>
        <v>4107540</v>
      </c>
      <c r="N118" s="113">
        <f t="shared" si="23"/>
        <v>-582540</v>
      </c>
      <c r="Q118" s="169">
        <v>128675</v>
      </c>
      <c r="R118" s="214" t="s">
        <v>4695</v>
      </c>
      <c r="S118" s="214">
        <f t="shared" si="24"/>
        <v>43</v>
      </c>
      <c r="T118" s="214" t="s">
        <v>4705</v>
      </c>
      <c r="U118" s="214">
        <v>699.9</v>
      </c>
      <c r="V118" s="99">
        <f>U118*(1+$N$95+$Q$15*S118/36500)</f>
        <v>730.82599232876714</v>
      </c>
      <c r="W118" s="32">
        <f t="shared" si="21"/>
        <v>745.44251217534247</v>
      </c>
      <c r="X118" s="32">
        <f t="shared" si="22"/>
        <v>760.0590320219178</v>
      </c>
      <c r="Y118" s="122" t="s">
        <v>25</v>
      </c>
      <c r="AH118" s="99">
        <v>98</v>
      </c>
      <c r="AI118" s="113" t="s">
        <v>4618</v>
      </c>
      <c r="AJ118" s="113">
        <v>13900000</v>
      </c>
      <c r="AK118" s="99">
        <v>2</v>
      </c>
      <c r="AL118" s="99">
        <f t="shared" si="20"/>
        <v>60</v>
      </c>
      <c r="AM118" s="117">
        <f t="shared" si="10"/>
        <v>834000000</v>
      </c>
      <c r="AN118" s="99"/>
    </row>
    <row r="119" spans="6:46">
      <c r="F119" s="217"/>
      <c r="G119" s="217"/>
      <c r="H119" s="217" t="s">
        <v>3881</v>
      </c>
      <c r="I119" s="217" t="s">
        <v>4859</v>
      </c>
      <c r="J119" s="32" t="s">
        <v>4296</v>
      </c>
      <c r="K119" s="217">
        <v>0.25</v>
      </c>
      <c r="L119" s="1">
        <f>K119*$L$123</f>
        <v>1175000</v>
      </c>
      <c r="M119" s="1">
        <f>N59</f>
        <v>2180265.2000000002</v>
      </c>
      <c r="N119" s="113">
        <f t="shared" si="23"/>
        <v>-1005265.2000000002</v>
      </c>
      <c r="Q119" s="35">
        <v>13100555</v>
      </c>
      <c r="R119" s="5" t="s">
        <v>4718</v>
      </c>
      <c r="S119" s="5">
        <f>S118-1</f>
        <v>42</v>
      </c>
      <c r="T119" s="5" t="s">
        <v>4719</v>
      </c>
      <c r="U119" s="214">
        <v>3180.5</v>
      </c>
      <c r="V119" s="99">
        <f>U119*(1+$N$95+$Q$15*S119/36500)</f>
        <v>3318.5946958904115</v>
      </c>
      <c r="W119" s="32">
        <f t="shared" si="21"/>
        <v>3384.9665898082199</v>
      </c>
      <c r="X119" s="32">
        <f t="shared" si="22"/>
        <v>3451.3384837260282</v>
      </c>
      <c r="AH119" s="99">
        <v>99</v>
      </c>
      <c r="AI119" s="113" t="s">
        <v>4628</v>
      </c>
      <c r="AJ119" s="113">
        <v>-8127577</v>
      </c>
      <c r="AK119" s="99">
        <v>1</v>
      </c>
      <c r="AL119" s="99">
        <f t="shared" si="20"/>
        <v>58</v>
      </c>
      <c r="AM119" s="117">
        <f t="shared" si="10"/>
        <v>-471399466</v>
      </c>
      <c r="AN119" s="99"/>
      <c r="AO119" t="s">
        <v>25</v>
      </c>
    </row>
    <row r="120" spans="6:46">
      <c r="F120" s="200"/>
      <c r="G120" s="200"/>
      <c r="H120" s="200"/>
      <c r="I120" s="200"/>
      <c r="J120" s="218" t="s">
        <v>4680</v>
      </c>
      <c r="K120" s="200">
        <v>1</v>
      </c>
      <c r="L120" s="219">
        <f>K120*$L$123</f>
        <v>4700000</v>
      </c>
      <c r="M120" s="219">
        <f>N50+N53+N61+N60</f>
        <v>3302686</v>
      </c>
      <c r="N120" s="184">
        <f t="shared" si="23"/>
        <v>1397314</v>
      </c>
      <c r="Q120" s="35">
        <v>622942</v>
      </c>
      <c r="R120" s="5" t="s">
        <v>4718</v>
      </c>
      <c r="S120" s="5">
        <f>S119</f>
        <v>42</v>
      </c>
      <c r="T120" s="5" t="s">
        <v>4720</v>
      </c>
      <c r="U120" s="214">
        <v>503.3</v>
      </c>
      <c r="V120" s="99">
        <f>U120*(1+$N$95+$Q$15*S120/36500)</f>
        <v>525.15287232876722</v>
      </c>
      <c r="W120" s="32">
        <f t="shared" si="21"/>
        <v>535.65592977534254</v>
      </c>
      <c r="X120" s="32">
        <f t="shared" si="22"/>
        <v>546.15898722191787</v>
      </c>
      <c r="Y120" t="s">
        <v>25</v>
      </c>
      <c r="AH120" s="99">
        <v>100</v>
      </c>
      <c r="AI120" s="113" t="s">
        <v>3691</v>
      </c>
      <c r="AJ120" s="113">
        <v>15792549</v>
      </c>
      <c r="AK120" s="99">
        <v>3</v>
      </c>
      <c r="AL120" s="99">
        <f t="shared" si="20"/>
        <v>57</v>
      </c>
      <c r="AM120" s="117">
        <f t="shared" si="10"/>
        <v>900175293</v>
      </c>
      <c r="AN120" s="99"/>
      <c r="AO120" t="s">
        <v>25</v>
      </c>
      <c r="AP120" t="s">
        <v>25</v>
      </c>
    </row>
    <row r="121" spans="6:46">
      <c r="F121" s="217"/>
      <c r="G121" s="217"/>
      <c r="H121" s="217"/>
      <c r="I121" s="217"/>
      <c r="J121" s="32" t="s">
        <v>4831</v>
      </c>
      <c r="K121" s="217"/>
      <c r="L121" s="1"/>
      <c r="M121" s="1"/>
      <c r="N121" s="113">
        <v>50000000</v>
      </c>
      <c r="Q121" s="35">
        <v>1472140</v>
      </c>
      <c r="R121" s="5" t="s">
        <v>4725</v>
      </c>
      <c r="S121" s="5">
        <f>S120-3</f>
        <v>39</v>
      </c>
      <c r="T121" s="5" t="s">
        <v>4729</v>
      </c>
      <c r="U121" s="168">
        <v>502</v>
      </c>
      <c r="V121" s="99">
        <f>U121*(1+$N$95+$Q$15*S121/36500)</f>
        <v>522.6411397260274</v>
      </c>
      <c r="W121" s="32">
        <f t="shared" si="21"/>
        <v>533.09396252054796</v>
      </c>
      <c r="X121" s="32">
        <f t="shared" si="22"/>
        <v>543.54678531506852</v>
      </c>
      <c r="AH121" s="99">
        <v>101</v>
      </c>
      <c r="AI121" s="113" t="s">
        <v>4633</v>
      </c>
      <c r="AJ121" s="113">
        <v>8800000</v>
      </c>
      <c r="AK121" s="99">
        <v>0</v>
      </c>
      <c r="AL121" s="99">
        <f t="shared" ref="AL121:AL125" si="25">AL122+AK121</f>
        <v>54</v>
      </c>
      <c r="AM121" s="117">
        <f t="shared" ref="AM121:AM147" si="26">AJ121*AL121</f>
        <v>475200000</v>
      </c>
      <c r="AN121" s="99"/>
      <c r="AP121" t="s">
        <v>25</v>
      </c>
    </row>
    <row r="122" spans="6:46" ht="45">
      <c r="F122" s="200"/>
      <c r="G122" s="200"/>
      <c r="H122" s="200"/>
      <c r="I122" s="200"/>
      <c r="J122" s="218" t="s">
        <v>4878</v>
      </c>
      <c r="K122" s="200">
        <f>SUM(K112:K120)</f>
        <v>193</v>
      </c>
      <c r="L122" s="219"/>
      <c r="M122" s="219"/>
      <c r="N122" s="184"/>
      <c r="Q122" s="35">
        <v>4394591</v>
      </c>
      <c r="R122" s="5" t="s">
        <v>4732</v>
      </c>
      <c r="S122" s="5">
        <f>S121-1</f>
        <v>38</v>
      </c>
      <c r="T122" s="5" t="s">
        <v>4733</v>
      </c>
      <c r="U122" s="168">
        <v>481.7</v>
      </c>
      <c r="V122" s="99">
        <f>U122*(1+$N$95+$Q$15*S122/36500)</f>
        <v>501.13692493150688</v>
      </c>
      <c r="W122" s="32">
        <f t="shared" si="21"/>
        <v>511.15966343013702</v>
      </c>
      <c r="X122" s="32">
        <f t="shared" si="22"/>
        <v>521.18240192876715</v>
      </c>
      <c r="AH122" s="121">
        <v>102</v>
      </c>
      <c r="AI122" s="79" t="s">
        <v>4633</v>
      </c>
      <c r="AJ122" s="79">
        <v>13071612</v>
      </c>
      <c r="AK122" s="121">
        <v>1</v>
      </c>
      <c r="AL122" s="121">
        <f t="shared" si="25"/>
        <v>54</v>
      </c>
      <c r="AM122" s="79">
        <f t="shared" si="26"/>
        <v>705867048</v>
      </c>
      <c r="AN122" s="209" t="s">
        <v>4635</v>
      </c>
    </row>
    <row r="123" spans="6:46">
      <c r="F123" s="217"/>
      <c r="G123" s="217"/>
      <c r="H123" s="217" t="s">
        <v>25</v>
      </c>
      <c r="I123" s="217"/>
      <c r="J123" s="32"/>
      <c r="K123" s="217">
        <v>24</v>
      </c>
      <c r="L123" s="39">
        <f>10*P64</f>
        <v>4700000</v>
      </c>
      <c r="M123" s="1">
        <f>K123*L123</f>
        <v>112800000</v>
      </c>
      <c r="N123" s="113">
        <f>SUM(N112:N121)-M123</f>
        <v>2366319.6999999732</v>
      </c>
      <c r="Q123" s="117">
        <v>4085110</v>
      </c>
      <c r="R123" s="19" t="s">
        <v>4735</v>
      </c>
      <c r="S123" s="19">
        <f>S122-1</f>
        <v>37</v>
      </c>
      <c r="T123" s="19" t="s">
        <v>4736</v>
      </c>
      <c r="U123" s="217">
        <v>3115.9</v>
      </c>
      <c r="V123" s="99">
        <f>U123*(1+$N$95+$Q$15*S123/36500)</f>
        <v>3239.238419726028</v>
      </c>
      <c r="W123" s="32">
        <f t="shared" si="21"/>
        <v>3304.0231881205486</v>
      </c>
      <c r="X123" s="32">
        <f t="shared" si="22"/>
        <v>3368.8079565150692</v>
      </c>
      <c r="Y123" t="s">
        <v>25</v>
      </c>
      <c r="AH123" s="89">
        <v>103</v>
      </c>
      <c r="AI123" s="90" t="s">
        <v>4638</v>
      </c>
      <c r="AJ123" s="90">
        <v>16727037</v>
      </c>
      <c r="AK123" s="89">
        <v>0</v>
      </c>
      <c r="AL123" s="89">
        <f t="shared" si="25"/>
        <v>53</v>
      </c>
      <c r="AM123" s="90">
        <f t="shared" si="26"/>
        <v>886532961</v>
      </c>
      <c r="AN123" s="89" t="s">
        <v>4649</v>
      </c>
    </row>
    <row r="124" spans="6:46">
      <c r="F124" s="200"/>
      <c r="G124" s="200"/>
      <c r="H124" s="200"/>
      <c r="I124" s="200"/>
      <c r="J124" s="218"/>
      <c r="K124" s="200" t="s">
        <v>4823</v>
      </c>
      <c r="L124" s="219" t="s">
        <v>4253</v>
      </c>
      <c r="M124" s="219" t="s">
        <v>4689</v>
      </c>
      <c r="N124" s="184" t="s">
        <v>4690</v>
      </c>
      <c r="Q124" s="117">
        <v>205386</v>
      </c>
      <c r="R124" s="19" t="s">
        <v>4737</v>
      </c>
      <c r="S124" s="19">
        <f>S123</f>
        <v>37</v>
      </c>
      <c r="T124" s="19" t="s">
        <v>4738</v>
      </c>
      <c r="U124" s="217">
        <v>178.1</v>
      </c>
      <c r="V124" s="99">
        <f>U124*(1+$N$95+$Q$15*S124/36500)</f>
        <v>185.14983232876716</v>
      </c>
      <c r="W124" s="32">
        <f t="shared" si="21"/>
        <v>188.8528289753425</v>
      </c>
      <c r="X124" s="32">
        <f t="shared" si="22"/>
        <v>192.55582562191785</v>
      </c>
      <c r="AH124" s="99">
        <v>104</v>
      </c>
      <c r="AI124" s="113" t="s">
        <v>4638</v>
      </c>
      <c r="AJ124" s="113">
        <v>12000000</v>
      </c>
      <c r="AK124" s="99">
        <v>1</v>
      </c>
      <c r="AL124" s="99">
        <f t="shared" si="25"/>
        <v>53</v>
      </c>
      <c r="AM124" s="117">
        <f t="shared" si="26"/>
        <v>636000000</v>
      </c>
      <c r="AN124" s="99" t="s">
        <v>4650</v>
      </c>
      <c r="AQ124" t="s">
        <v>25</v>
      </c>
    </row>
    <row r="125" spans="6:46">
      <c r="F125" s="217"/>
      <c r="G125" s="217"/>
      <c r="H125" s="217"/>
      <c r="I125" s="217"/>
      <c r="J125" s="32" t="s">
        <v>4698</v>
      </c>
      <c r="K125" s="217"/>
      <c r="L125" s="1"/>
      <c r="M125" s="1"/>
      <c r="N125" s="113"/>
      <c r="P125" s="114"/>
      <c r="Q125" s="117">
        <v>8398607</v>
      </c>
      <c r="R125" s="19" t="s">
        <v>4749</v>
      </c>
      <c r="S125" s="19">
        <f>S124-8</f>
        <v>29</v>
      </c>
      <c r="T125" s="19" t="s">
        <v>4751</v>
      </c>
      <c r="U125" s="217">
        <v>3120.5</v>
      </c>
      <c r="V125" s="99">
        <f>U125*(1+$N$95+$Q$15*S125/36500)</f>
        <v>3224.8700383561645</v>
      </c>
      <c r="W125" s="32">
        <f t="shared" si="21"/>
        <v>3289.367439123288</v>
      </c>
      <c r="X125" s="32">
        <f t="shared" si="22"/>
        <v>3353.8648398904111</v>
      </c>
      <c r="Y125" t="s">
        <v>25</v>
      </c>
      <c r="AH125" s="89">
        <v>105</v>
      </c>
      <c r="AI125" s="90" t="s">
        <v>4556</v>
      </c>
      <c r="AJ125" s="90">
        <v>88697667</v>
      </c>
      <c r="AK125" s="89">
        <v>1</v>
      </c>
      <c r="AL125" s="89">
        <f t="shared" si="25"/>
        <v>52</v>
      </c>
      <c r="AM125" s="90">
        <f t="shared" si="26"/>
        <v>4612278684</v>
      </c>
      <c r="AN125" s="89" t="s">
        <v>4651</v>
      </c>
      <c r="AP125" t="s">
        <v>25</v>
      </c>
    </row>
    <row r="126" spans="6:46">
      <c r="M126" t="s">
        <v>25</v>
      </c>
      <c r="Q126" s="117">
        <v>18565999</v>
      </c>
      <c r="R126" s="19" t="s">
        <v>4752</v>
      </c>
      <c r="S126" s="19">
        <f>S125-1</f>
        <v>28</v>
      </c>
      <c r="T126" s="19" t="s">
        <v>4760</v>
      </c>
      <c r="U126" s="217">
        <v>3112.4</v>
      </c>
      <c r="V126" s="99">
        <f>U126*(1+$N$95+$Q$15*S126/36500)</f>
        <v>3214.1115265753429</v>
      </c>
      <c r="W126" s="32">
        <f t="shared" si="21"/>
        <v>3278.39375710685</v>
      </c>
      <c r="X126" s="32">
        <f t="shared" si="22"/>
        <v>3342.6759876383567</v>
      </c>
      <c r="AH126" s="99">
        <v>106</v>
      </c>
      <c r="AI126" s="113" t="s">
        <v>4559</v>
      </c>
      <c r="AJ126" s="113">
        <v>101000</v>
      </c>
      <c r="AK126" s="99">
        <v>0</v>
      </c>
      <c r="AL126" s="99">
        <f>AL127+AK126</f>
        <v>51</v>
      </c>
      <c r="AM126" s="117">
        <f t="shared" si="26"/>
        <v>5151000</v>
      </c>
      <c r="AN126" s="99"/>
    </row>
    <row r="127" spans="6:46">
      <c r="Q127" s="117">
        <v>5924703</v>
      </c>
      <c r="R127" s="19" t="s">
        <v>4763</v>
      </c>
      <c r="S127" s="19">
        <f>S126-3</f>
        <v>25</v>
      </c>
      <c r="T127" s="19" t="s">
        <v>4862</v>
      </c>
      <c r="U127" s="217">
        <v>489</v>
      </c>
      <c r="V127" s="99">
        <f>U127*(1+$N$95+$Q$15*S127/36500)</f>
        <v>503.85488219178086</v>
      </c>
      <c r="W127" s="32">
        <f t="shared" si="21"/>
        <v>513.93197983561652</v>
      </c>
      <c r="X127" s="32">
        <f t="shared" si="22"/>
        <v>524.00907747945212</v>
      </c>
      <c r="AH127" s="149">
        <v>107</v>
      </c>
      <c r="AI127" s="189" t="s">
        <v>4648</v>
      </c>
      <c r="AJ127" s="189">
        <v>-48200</v>
      </c>
      <c r="AK127" s="149">
        <v>0</v>
      </c>
      <c r="AL127" s="149">
        <f t="shared" ref="AL127:AL147" si="27">AL128+AK127</f>
        <v>51</v>
      </c>
      <c r="AM127" s="189">
        <f t="shared" si="26"/>
        <v>-2458200</v>
      </c>
      <c r="AN127" s="149" t="s">
        <v>4659</v>
      </c>
    </row>
    <row r="128" spans="6:46">
      <c r="F128" s="217"/>
      <c r="G128" s="217"/>
      <c r="H128" s="217"/>
      <c r="I128" s="217"/>
      <c r="J128" s="217" t="s">
        <v>4825</v>
      </c>
      <c r="K128" s="168" t="s">
        <v>4545</v>
      </c>
      <c r="L128" s="168" t="s">
        <v>4546</v>
      </c>
      <c r="M128" s="168" t="s">
        <v>4436</v>
      </c>
      <c r="N128" s="56" t="s">
        <v>190</v>
      </c>
      <c r="Q128" s="117">
        <v>164801</v>
      </c>
      <c r="R128" s="19" t="s">
        <v>4776</v>
      </c>
      <c r="S128" s="19">
        <f>S127-2</f>
        <v>23</v>
      </c>
      <c r="T128" s="19" t="s">
        <v>4781</v>
      </c>
      <c r="U128" s="217">
        <v>3095.1</v>
      </c>
      <c r="V128" s="99">
        <f>U128*(1+$N$95+$Q$15*S128/36500)</f>
        <v>3184.3745556164386</v>
      </c>
      <c r="W128" s="32">
        <f t="shared" si="21"/>
        <v>3248.0620467287672</v>
      </c>
      <c r="X128" s="32">
        <f t="shared" si="22"/>
        <v>3311.7495378410963</v>
      </c>
      <c r="AH128" s="89">
        <v>108</v>
      </c>
      <c r="AI128" s="90" t="s">
        <v>4648</v>
      </c>
      <c r="AJ128" s="90">
        <v>39327293</v>
      </c>
      <c r="AK128" s="89">
        <v>4</v>
      </c>
      <c r="AL128" s="149">
        <f t="shared" si="27"/>
        <v>51</v>
      </c>
      <c r="AM128" s="189">
        <f t="shared" si="26"/>
        <v>2005691943</v>
      </c>
      <c r="AN128" s="89" t="s">
        <v>4660</v>
      </c>
    </row>
    <row r="129" spans="6:44">
      <c r="F129" s="217" t="s">
        <v>4363</v>
      </c>
      <c r="G129" s="217" t="s">
        <v>941</v>
      </c>
      <c r="H129" s="217" t="s">
        <v>4545</v>
      </c>
      <c r="I129" s="217" t="s">
        <v>937</v>
      </c>
      <c r="J129" s="217" t="s">
        <v>4826</v>
      </c>
      <c r="K129" s="168" t="s">
        <v>4243</v>
      </c>
      <c r="L129" s="169">
        <v>1100000</v>
      </c>
      <c r="M129" s="169">
        <v>1637000</v>
      </c>
      <c r="N129" s="168">
        <f t="shared" ref="N129:N137" si="28">(M129-L129)*100/L129</f>
        <v>48.81818181818182</v>
      </c>
      <c r="P129" s="114"/>
      <c r="Q129" s="117">
        <v>223613</v>
      </c>
      <c r="R129" s="19" t="s">
        <v>4776</v>
      </c>
      <c r="S129" s="19">
        <f>S128</f>
        <v>23</v>
      </c>
      <c r="T129" s="19" t="s">
        <v>4782</v>
      </c>
      <c r="U129" s="217">
        <v>4637.1000000000004</v>
      </c>
      <c r="V129" s="99">
        <f>U129*(1+$N$95+$Q$15*S129/36500)</f>
        <v>4770.851750136987</v>
      </c>
      <c r="W129" s="32">
        <f t="shared" si="21"/>
        <v>4866.2687851397268</v>
      </c>
      <c r="X129" s="32">
        <f t="shared" si="22"/>
        <v>4961.6858201424666</v>
      </c>
      <c r="AH129" s="89">
        <v>109</v>
      </c>
      <c r="AI129" s="90" t="s">
        <v>4675</v>
      </c>
      <c r="AJ129" s="90">
        <v>8749050</v>
      </c>
      <c r="AK129" s="89">
        <v>1</v>
      </c>
      <c r="AL129" s="89">
        <f t="shared" si="27"/>
        <v>47</v>
      </c>
      <c r="AM129" s="90">
        <f t="shared" si="26"/>
        <v>411205350</v>
      </c>
      <c r="AN129" s="89" t="s">
        <v>4679</v>
      </c>
      <c r="AQ129" t="s">
        <v>25</v>
      </c>
    </row>
    <row r="130" spans="6:44">
      <c r="F130" s="217">
        <v>3307.5</v>
      </c>
      <c r="G130" s="217">
        <f>P49</f>
        <v>3382.4</v>
      </c>
      <c r="H130" s="217" t="s">
        <v>4391</v>
      </c>
      <c r="I130" s="217">
        <v>3761</v>
      </c>
      <c r="J130" s="1">
        <f>I130*G130</f>
        <v>12721206.4</v>
      </c>
      <c r="K130" s="5" t="s">
        <v>4540</v>
      </c>
      <c r="L130" s="169">
        <v>1100000</v>
      </c>
      <c r="M130" s="169">
        <v>4748000</v>
      </c>
      <c r="N130" s="168">
        <f t="shared" si="28"/>
        <v>331.63636363636363</v>
      </c>
      <c r="Q130" s="117">
        <v>989631</v>
      </c>
      <c r="R130" s="19" t="s">
        <v>4776</v>
      </c>
      <c r="S130" s="19">
        <f>S129</f>
        <v>23</v>
      </c>
      <c r="T130" s="19" t="s">
        <v>4783</v>
      </c>
      <c r="U130" s="217">
        <v>3863</v>
      </c>
      <c r="V130" s="99">
        <f>U130*(1+$N$95+$Q$15*S130/36500)</f>
        <v>3974.4237369863017</v>
      </c>
      <c r="W130" s="32">
        <f t="shared" si="21"/>
        <v>4053.9122117260276</v>
      </c>
      <c r="X130" s="32">
        <f t="shared" si="22"/>
        <v>4133.400686465754</v>
      </c>
      <c r="Z130" t="s">
        <v>25</v>
      </c>
      <c r="AH130" s="99">
        <v>110</v>
      </c>
      <c r="AI130" s="113" t="s">
        <v>4681</v>
      </c>
      <c r="AJ130" s="113">
        <v>60000</v>
      </c>
      <c r="AK130" s="99">
        <v>1</v>
      </c>
      <c r="AL130" s="99">
        <f t="shared" si="27"/>
        <v>46</v>
      </c>
      <c r="AM130" s="117">
        <f t="shared" si="26"/>
        <v>2760000</v>
      </c>
      <c r="AN130" s="99" t="s">
        <v>4682</v>
      </c>
    </row>
    <row r="131" spans="6:44">
      <c r="F131" s="217">
        <v>5249.5</v>
      </c>
      <c r="G131" s="217">
        <f>P54</f>
        <v>5428</v>
      </c>
      <c r="H131" s="217" t="s">
        <v>4395</v>
      </c>
      <c r="I131" s="217">
        <v>7163</v>
      </c>
      <c r="J131" s="1">
        <f>I131*G131</f>
        <v>38880764</v>
      </c>
      <c r="K131" s="5" t="s">
        <v>4541</v>
      </c>
      <c r="L131" s="169">
        <v>1100000</v>
      </c>
      <c r="M131" s="169">
        <v>5137000</v>
      </c>
      <c r="N131" s="168">
        <f t="shared" si="28"/>
        <v>367</v>
      </c>
      <c r="Q131" s="117">
        <v>5001091</v>
      </c>
      <c r="R131" s="19" t="s">
        <v>4786</v>
      </c>
      <c r="S131" s="19">
        <f>S130-1</f>
        <v>22</v>
      </c>
      <c r="T131" s="19" t="s">
        <v>4787</v>
      </c>
      <c r="U131" s="217">
        <v>3125</v>
      </c>
      <c r="V131" s="99">
        <f>U131*(1+$N$95+$Q$15*S131/36500)</f>
        <v>3212.7397260273979</v>
      </c>
      <c r="W131" s="32">
        <f t="shared" si="21"/>
        <v>3276.9945205479457</v>
      </c>
      <c r="X131" s="32">
        <f t="shared" si="22"/>
        <v>3341.2493150684941</v>
      </c>
      <c r="AH131" s="20">
        <v>111</v>
      </c>
      <c r="AI131" s="117" t="s">
        <v>4691</v>
      </c>
      <c r="AJ131" s="117">
        <v>4750000</v>
      </c>
      <c r="AK131" s="20">
        <v>0</v>
      </c>
      <c r="AL131" s="99">
        <f t="shared" si="27"/>
        <v>45</v>
      </c>
      <c r="AM131" s="117">
        <f t="shared" si="26"/>
        <v>213750000</v>
      </c>
      <c r="AN131" s="20"/>
    </row>
    <row r="132" spans="6:44">
      <c r="F132" s="217">
        <v>519.79999999999995</v>
      </c>
      <c r="G132" s="217">
        <f>P55</f>
        <v>586.6</v>
      </c>
      <c r="H132" s="217" t="s">
        <v>4410</v>
      </c>
      <c r="I132" s="217">
        <v>0</v>
      </c>
      <c r="J132" s="1">
        <f>I132*G132</f>
        <v>0</v>
      </c>
      <c r="K132" s="19" t="s">
        <v>4391</v>
      </c>
      <c r="L132" s="169">
        <v>1100000</v>
      </c>
      <c r="M132" s="169">
        <v>4300000</v>
      </c>
      <c r="N132" s="168">
        <f t="shared" si="28"/>
        <v>290.90909090909093</v>
      </c>
      <c r="Q132" s="117">
        <v>12497226</v>
      </c>
      <c r="R132" s="19" t="s">
        <v>4824</v>
      </c>
      <c r="S132" s="19">
        <f>S131-7</f>
        <v>15</v>
      </c>
      <c r="T132" s="19" t="s">
        <v>4828</v>
      </c>
      <c r="U132" s="217">
        <v>3307.5</v>
      </c>
      <c r="V132" s="99">
        <f>U132*(1+$N$95+$Q$15*S132/36500)</f>
        <v>3382.6029041095894</v>
      </c>
      <c r="W132" s="32">
        <f t="shared" si="21"/>
        <v>3450.2549621917815</v>
      </c>
      <c r="X132" s="32">
        <f t="shared" si="22"/>
        <v>3517.9070202739731</v>
      </c>
      <c r="AH132" s="89">
        <v>112</v>
      </c>
      <c r="AI132" s="90" t="s">
        <v>4691</v>
      </c>
      <c r="AJ132" s="90">
        <v>13101160</v>
      </c>
      <c r="AK132" s="89">
        <v>1</v>
      </c>
      <c r="AL132" s="89">
        <f t="shared" si="27"/>
        <v>45</v>
      </c>
      <c r="AM132" s="90">
        <f t="shared" si="26"/>
        <v>589552200</v>
      </c>
      <c r="AN132" s="89" t="s">
        <v>4696</v>
      </c>
      <c r="AQ132" t="s">
        <v>25</v>
      </c>
    </row>
    <row r="133" spans="6:44">
      <c r="F133" s="217">
        <v>4051</v>
      </c>
      <c r="G133" s="217">
        <f>P56</f>
        <v>4172.5</v>
      </c>
      <c r="H133" s="217" t="s">
        <v>4542</v>
      </c>
      <c r="I133" s="217">
        <v>130</v>
      </c>
      <c r="J133" s="1">
        <f>I133*G133</f>
        <v>542425</v>
      </c>
      <c r="K133" s="5" t="s">
        <v>4410</v>
      </c>
      <c r="L133" s="169">
        <v>1100000</v>
      </c>
      <c r="M133" s="169">
        <v>3191000</v>
      </c>
      <c r="N133" s="168">
        <f t="shared" si="28"/>
        <v>190.09090909090909</v>
      </c>
      <c r="Q133" s="117">
        <v>24695044</v>
      </c>
      <c r="R133" s="19" t="s">
        <v>4824</v>
      </c>
      <c r="S133" s="19">
        <f>S132</f>
        <v>15</v>
      </c>
      <c r="T133" s="19" t="s">
        <v>4829</v>
      </c>
      <c r="U133" s="217">
        <v>5249.5</v>
      </c>
      <c r="V133" s="99">
        <f>U133*(1+$N$95+$Q$15*S133/36500)</f>
        <v>5368.6996054794527</v>
      </c>
      <c r="W133" s="32">
        <f t="shared" si="21"/>
        <v>5476.073597589042</v>
      </c>
      <c r="X133" s="32">
        <f t="shared" si="22"/>
        <v>5583.4475896986305</v>
      </c>
      <c r="AH133" s="20">
        <v>113</v>
      </c>
      <c r="AI133" s="117" t="s">
        <v>4695</v>
      </c>
      <c r="AJ133" s="117">
        <v>-980000</v>
      </c>
      <c r="AK133" s="20">
        <v>0</v>
      </c>
      <c r="AL133" s="99">
        <f t="shared" si="27"/>
        <v>44</v>
      </c>
      <c r="AM133" s="117">
        <f t="shared" si="26"/>
        <v>-43120000</v>
      </c>
      <c r="AN133" s="20"/>
    </row>
    <row r="134" spans="6:44">
      <c r="F134" s="217"/>
      <c r="G134" s="217"/>
      <c r="H134" s="217"/>
      <c r="I134" s="217"/>
      <c r="J134" s="1">
        <f>SUM(J130:J133)</f>
        <v>52144395.399999999</v>
      </c>
      <c r="K134" s="5" t="s">
        <v>4542</v>
      </c>
      <c r="L134" s="169">
        <v>1100000</v>
      </c>
      <c r="M134" s="169">
        <v>5623000</v>
      </c>
      <c r="N134" s="168">
        <f t="shared" si="28"/>
        <v>411.18181818181819</v>
      </c>
      <c r="P134" s="114"/>
      <c r="Q134" s="117">
        <v>529210</v>
      </c>
      <c r="R134" s="19" t="s">
        <v>4824</v>
      </c>
      <c r="S134" s="19">
        <f>S133</f>
        <v>15</v>
      </c>
      <c r="T134" s="19" t="s">
        <v>4830</v>
      </c>
      <c r="U134" s="217">
        <v>4051</v>
      </c>
      <c r="V134" s="99">
        <f>U134*(1+$N$95+$Q$15*S134/36500)</f>
        <v>4142.9854465753433</v>
      </c>
      <c r="W134" s="32">
        <f t="shared" si="21"/>
        <v>4225.8451555068505</v>
      </c>
      <c r="X134" s="32">
        <f t="shared" si="22"/>
        <v>4308.7048644383576</v>
      </c>
      <c r="AH134" s="89">
        <v>114</v>
      </c>
      <c r="AI134" s="90" t="s">
        <v>4695</v>
      </c>
      <c r="AJ134" s="90">
        <v>13301790</v>
      </c>
      <c r="AK134" s="89">
        <v>0</v>
      </c>
      <c r="AL134" s="89">
        <f t="shared" si="27"/>
        <v>44</v>
      </c>
      <c r="AM134" s="90">
        <f t="shared" si="26"/>
        <v>585278760</v>
      </c>
      <c r="AN134" s="89" t="s">
        <v>4696</v>
      </c>
    </row>
    <row r="135" spans="6:44">
      <c r="F135" s="217"/>
      <c r="G135" s="217"/>
      <c r="H135" s="217"/>
      <c r="I135" s="217"/>
      <c r="J135" s="217" t="s">
        <v>6</v>
      </c>
      <c r="K135" s="19" t="s">
        <v>4395</v>
      </c>
      <c r="L135" s="169">
        <v>1100000</v>
      </c>
      <c r="M135" s="169">
        <v>7728000</v>
      </c>
      <c r="N135" s="168">
        <f t="shared" si="28"/>
        <v>602.5454545454545</v>
      </c>
      <c r="Q135" s="117">
        <v>5416530</v>
      </c>
      <c r="R135" s="19" t="s">
        <v>4836</v>
      </c>
      <c r="S135" s="19">
        <f>S134-1</f>
        <v>14</v>
      </c>
      <c r="T135" s="19" t="s">
        <v>4899</v>
      </c>
      <c r="U135" s="217">
        <v>5235</v>
      </c>
      <c r="V135" s="99">
        <f>U135*(1+$N$95+$Q$15*S135/36500)</f>
        <v>5349.8544657534258</v>
      </c>
      <c r="W135" s="32">
        <f t="shared" si="21"/>
        <v>5456.8515550684942</v>
      </c>
      <c r="X135" s="32">
        <f t="shared" si="22"/>
        <v>5563.8486443835627</v>
      </c>
      <c r="Y135" t="s">
        <v>25</v>
      </c>
      <c r="AH135" s="20">
        <v>115</v>
      </c>
      <c r="AI135" s="117" t="s">
        <v>4695</v>
      </c>
      <c r="AJ135" s="117">
        <v>404000</v>
      </c>
      <c r="AK135" s="20">
        <v>5</v>
      </c>
      <c r="AL135" s="99">
        <f t="shared" si="27"/>
        <v>44</v>
      </c>
      <c r="AM135" s="117">
        <f t="shared" si="26"/>
        <v>17776000</v>
      </c>
      <c r="AN135" s="20" t="s">
        <v>4707</v>
      </c>
    </row>
    <row r="136" spans="6:44">
      <c r="K136" s="5" t="s">
        <v>4544</v>
      </c>
      <c r="L136" s="169">
        <v>1100000</v>
      </c>
      <c r="M136" s="169">
        <v>2904000</v>
      </c>
      <c r="N136" s="168">
        <f t="shared" si="28"/>
        <v>164</v>
      </c>
      <c r="Q136" s="117">
        <v>153812</v>
      </c>
      <c r="R136" s="19" t="s">
        <v>4868</v>
      </c>
      <c r="S136" s="19">
        <f>S135-6</f>
        <v>8</v>
      </c>
      <c r="T136" s="19" t="s">
        <v>4869</v>
      </c>
      <c r="U136" s="217">
        <v>537.20000000000005</v>
      </c>
      <c r="V136" s="99">
        <f>U136*(1+$N$95+$Q$15*S136/36500)</f>
        <v>546.51342904109595</v>
      </c>
      <c r="W136" s="32">
        <f t="shared" si="21"/>
        <v>557.44369762191786</v>
      </c>
      <c r="X136" s="32">
        <f t="shared" si="22"/>
        <v>568.37396620273978</v>
      </c>
      <c r="AH136" s="89">
        <v>116</v>
      </c>
      <c r="AI136" s="90" t="s">
        <v>4732</v>
      </c>
      <c r="AJ136" s="90">
        <v>4291628</v>
      </c>
      <c r="AK136" s="89">
        <v>2</v>
      </c>
      <c r="AL136" s="89">
        <f t="shared" si="27"/>
        <v>39</v>
      </c>
      <c r="AM136" s="90">
        <f t="shared" si="26"/>
        <v>167373492</v>
      </c>
      <c r="AN136" s="89" t="s">
        <v>4734</v>
      </c>
    </row>
    <row r="137" spans="6:44">
      <c r="K137" s="56" t="s">
        <v>1086</v>
      </c>
      <c r="L137" s="169">
        <v>1100000</v>
      </c>
      <c r="M137" s="169">
        <v>3400000</v>
      </c>
      <c r="N137" s="168">
        <f t="shared" si="28"/>
        <v>209.09090909090909</v>
      </c>
      <c r="Q137" s="117">
        <v>1837912</v>
      </c>
      <c r="R137" s="19" t="s">
        <v>4872</v>
      </c>
      <c r="S137" s="19">
        <f>S136-1</f>
        <v>7</v>
      </c>
      <c r="T137" s="19" t="s">
        <v>4873</v>
      </c>
      <c r="U137" s="217">
        <v>296.60000000000002</v>
      </c>
      <c r="V137" s="99">
        <f>U137*(1+$N$95+$Q$15*S137/36500)</f>
        <v>301.51462136986311</v>
      </c>
      <c r="W137" s="32">
        <f t="shared" si="21"/>
        <v>307.54491379726039</v>
      </c>
      <c r="X137" s="32">
        <f t="shared" si="22"/>
        <v>313.57520622465762</v>
      </c>
      <c r="Y137" t="s">
        <v>25</v>
      </c>
      <c r="Z137" t="s">
        <v>25</v>
      </c>
      <c r="AH137" s="20">
        <v>117</v>
      </c>
      <c r="AI137" s="117" t="s">
        <v>4739</v>
      </c>
      <c r="AJ137" s="117">
        <v>1000</v>
      </c>
      <c r="AK137" s="20">
        <v>5</v>
      </c>
      <c r="AL137" s="20">
        <f t="shared" si="27"/>
        <v>37</v>
      </c>
      <c r="AM137" s="117">
        <f t="shared" si="26"/>
        <v>37000</v>
      </c>
      <c r="AN137" s="20"/>
      <c r="AQ137" t="s">
        <v>25</v>
      </c>
    </row>
    <row r="138" spans="6:44">
      <c r="K138" s="207" t="s">
        <v>4576</v>
      </c>
      <c r="Q138" s="117">
        <v>104025</v>
      </c>
      <c r="R138" s="19" t="s">
        <v>974</v>
      </c>
      <c r="S138" s="19">
        <f>S137-3</f>
        <v>4</v>
      </c>
      <c r="T138" s="19" t="s">
        <v>4892</v>
      </c>
      <c r="U138" s="217">
        <v>295</v>
      </c>
      <c r="V138" s="99">
        <f>U138*(1+$N$95+$Q$15*S138/36500)</f>
        <v>299.20920547945212</v>
      </c>
      <c r="W138" s="32">
        <f t="shared" si="21"/>
        <v>305.19338958904115</v>
      </c>
      <c r="X138" s="32">
        <f t="shared" si="22"/>
        <v>311.17757369863023</v>
      </c>
      <c r="Y138" t="s">
        <v>25</v>
      </c>
      <c r="AH138" s="121">
        <v>118</v>
      </c>
      <c r="AI138" s="79" t="s">
        <v>4747</v>
      </c>
      <c r="AJ138" s="79">
        <v>8739459</v>
      </c>
      <c r="AK138" s="121">
        <v>2</v>
      </c>
      <c r="AL138" s="121">
        <f t="shared" si="27"/>
        <v>32</v>
      </c>
      <c r="AM138" s="79">
        <f t="shared" si="26"/>
        <v>279662688</v>
      </c>
      <c r="AN138" s="121" t="s">
        <v>4679</v>
      </c>
    </row>
    <row r="139" spans="6:44">
      <c r="K139" s="207" t="s">
        <v>4577</v>
      </c>
      <c r="P139" s="114"/>
      <c r="Q139" s="117">
        <v>10926171</v>
      </c>
      <c r="R139" s="19" t="s">
        <v>4902</v>
      </c>
      <c r="S139" s="19">
        <f>S138-2</f>
        <v>2</v>
      </c>
      <c r="T139" s="19" t="s">
        <v>4904</v>
      </c>
      <c r="U139" s="217">
        <v>5355.4</v>
      </c>
      <c r="V139" s="99">
        <f>U139*(1+$N$95+$Q$15*S139/36500)</f>
        <v>5423.5969841095894</v>
      </c>
      <c r="W139" s="32">
        <f t="shared" si="21"/>
        <v>5532.0689237917813</v>
      </c>
      <c r="X139" s="32">
        <f t="shared" si="22"/>
        <v>5640.5408634739733</v>
      </c>
      <c r="AH139" s="121">
        <v>119</v>
      </c>
      <c r="AI139" s="79" t="s">
        <v>4749</v>
      </c>
      <c r="AJ139" s="79">
        <v>17595278</v>
      </c>
      <c r="AK139" s="121">
        <v>1</v>
      </c>
      <c r="AL139" s="121">
        <f t="shared" si="27"/>
        <v>30</v>
      </c>
      <c r="AM139" s="79">
        <f t="shared" si="26"/>
        <v>527858340</v>
      </c>
      <c r="AN139" s="121" t="s">
        <v>4753</v>
      </c>
    </row>
    <row r="140" spans="6:44">
      <c r="K140" s="207" t="s">
        <v>4578</v>
      </c>
      <c r="Q140" s="117">
        <v>146418</v>
      </c>
      <c r="R140" s="19" t="s">
        <v>4905</v>
      </c>
      <c r="S140" s="19">
        <f>S139-1</f>
        <v>1</v>
      </c>
      <c r="T140" s="19" t="s">
        <v>4906</v>
      </c>
      <c r="U140" s="217">
        <v>304.89999999999998</v>
      </c>
      <c r="V140" s="99">
        <f>U140*(1+$N$95+$Q$15*S140/36500)</f>
        <v>308.54877589041092</v>
      </c>
      <c r="W140" s="32">
        <f t="shared" si="21"/>
        <v>314.71975140821917</v>
      </c>
      <c r="X140" s="32">
        <f t="shared" si="22"/>
        <v>320.89072692602736</v>
      </c>
      <c r="AH140" s="121">
        <v>120</v>
      </c>
      <c r="AI140" s="79" t="s">
        <v>4752</v>
      </c>
      <c r="AJ140" s="79">
        <v>13335309</v>
      </c>
      <c r="AK140" s="121">
        <v>13</v>
      </c>
      <c r="AL140" s="121">
        <f t="shared" si="27"/>
        <v>29</v>
      </c>
      <c r="AM140" s="79">
        <f t="shared" si="26"/>
        <v>386723961</v>
      </c>
      <c r="AN140" s="121" t="s">
        <v>4696</v>
      </c>
    </row>
    <row r="141" spans="6:44">
      <c r="Q141" s="117">
        <v>441599</v>
      </c>
      <c r="R141" s="19" t="s">
        <v>4914</v>
      </c>
      <c r="S141" s="19">
        <f>S140-1</f>
        <v>0</v>
      </c>
      <c r="T141" s="19" t="s">
        <v>4917</v>
      </c>
      <c r="U141" s="217">
        <v>220</v>
      </c>
      <c r="V141" s="99">
        <f>U141*(1+$N$95+$Q$15*S141/36500)</f>
        <v>222.46400000000003</v>
      </c>
      <c r="W141" s="32">
        <f t="shared" si="21"/>
        <v>226.91328000000004</v>
      </c>
      <c r="X141" s="32">
        <f t="shared" si="22"/>
        <v>231.36256000000003</v>
      </c>
      <c r="AH141" s="161">
        <v>121</v>
      </c>
      <c r="AI141" s="232" t="s">
        <v>4824</v>
      </c>
      <c r="AJ141" s="232">
        <v>50000000</v>
      </c>
      <c r="AK141" s="161">
        <v>11</v>
      </c>
      <c r="AL141" s="161">
        <f t="shared" si="27"/>
        <v>16</v>
      </c>
      <c r="AM141" s="232">
        <f t="shared" si="26"/>
        <v>800000000</v>
      </c>
      <c r="AN141" s="161" t="s">
        <v>4827</v>
      </c>
      <c r="AP141" t="s">
        <v>25</v>
      </c>
    </row>
    <row r="142" spans="6:44">
      <c r="F142" t="s">
        <v>4909</v>
      </c>
      <c r="G142">
        <v>1200</v>
      </c>
      <c r="H142" t="s">
        <v>4910</v>
      </c>
      <c r="Q142" s="169">
        <v>62110</v>
      </c>
      <c r="R142" s="168" t="s">
        <v>4937</v>
      </c>
      <c r="S142" s="168">
        <f>S141-3</f>
        <v>-3</v>
      </c>
      <c r="T142" s="168" t="s">
        <v>4942</v>
      </c>
      <c r="U142" s="168">
        <v>270</v>
      </c>
      <c r="V142" s="99">
        <f>U142*(1+$N$95+$Q$15*S142/36500)</f>
        <v>272.40263013698632</v>
      </c>
      <c r="W142" s="32">
        <f t="shared" si="21"/>
        <v>277.85068273972604</v>
      </c>
      <c r="X142" s="32">
        <f t="shared" si="22"/>
        <v>283.29873534246576</v>
      </c>
      <c r="AH142" s="20">
        <v>122</v>
      </c>
      <c r="AI142" s="117" t="s">
        <v>974</v>
      </c>
      <c r="AJ142" s="117">
        <v>30000</v>
      </c>
      <c r="AK142" s="20">
        <v>3</v>
      </c>
      <c r="AL142" s="20">
        <f t="shared" si="27"/>
        <v>5</v>
      </c>
      <c r="AM142" s="117">
        <f t="shared" si="26"/>
        <v>150000</v>
      </c>
      <c r="AN142" s="20"/>
    </row>
    <row r="143" spans="6:44">
      <c r="G143">
        <v>1350</v>
      </c>
      <c r="H143" t="s">
        <v>4911</v>
      </c>
      <c r="Q143" s="169"/>
      <c r="R143" s="168"/>
      <c r="S143" s="168"/>
      <c r="T143" s="168"/>
      <c r="U143" s="168"/>
      <c r="V143" s="99">
        <f>U143*(1+$N$95+$Q$15*S143/36500)</f>
        <v>0</v>
      </c>
      <c r="W143" s="32">
        <f t="shared" si="21"/>
        <v>0</v>
      </c>
      <c r="X143" s="32">
        <f t="shared" si="22"/>
        <v>0</v>
      </c>
      <c r="AH143" s="20">
        <v>123</v>
      </c>
      <c r="AI143" s="117" t="s">
        <v>4905</v>
      </c>
      <c r="AJ143" s="117">
        <v>600000</v>
      </c>
      <c r="AK143" s="20">
        <v>1</v>
      </c>
      <c r="AL143" s="20">
        <f t="shared" si="27"/>
        <v>2</v>
      </c>
      <c r="AM143" s="117">
        <f t="shared" si="26"/>
        <v>1200000</v>
      </c>
      <c r="AN143" s="20"/>
      <c r="AR143" t="s">
        <v>25</v>
      </c>
    </row>
    <row r="144" spans="6:44">
      <c r="G144">
        <v>1050</v>
      </c>
      <c r="H144" t="s">
        <v>4912</v>
      </c>
      <c r="Q144" s="113">
        <f>SUM(N49:N64)-SUM(Q76:Q143)</f>
        <v>20460755.899999976</v>
      </c>
      <c r="R144" s="112"/>
      <c r="S144" s="112"/>
      <c r="T144" s="112"/>
      <c r="U144" s="168"/>
      <c r="V144" s="99" t="s">
        <v>25</v>
      </c>
      <c r="W144" s="32"/>
      <c r="X144" s="32"/>
      <c r="AH144" s="20">
        <v>124</v>
      </c>
      <c r="AI144" s="117" t="s">
        <v>4914</v>
      </c>
      <c r="AJ144" s="117">
        <v>30000</v>
      </c>
      <c r="AK144" s="20">
        <v>1</v>
      </c>
      <c r="AL144" s="20">
        <f t="shared" si="27"/>
        <v>1</v>
      </c>
      <c r="AM144" s="117">
        <f t="shared" si="26"/>
        <v>30000</v>
      </c>
      <c r="AN144" s="20"/>
    </row>
    <row r="145" spans="16:44">
      <c r="Q145" s="26"/>
      <c r="R145" s="181"/>
      <c r="S145" s="181"/>
      <c r="T145" t="s">
        <v>25</v>
      </c>
      <c r="U145" s="96" t="s">
        <v>25</v>
      </c>
      <c r="V145" s="96" t="s">
        <v>25</v>
      </c>
      <c r="W145" s="96" t="s">
        <v>25</v>
      </c>
      <c r="AH145" s="99"/>
      <c r="AI145" s="113"/>
      <c r="AJ145" s="113"/>
      <c r="AK145" s="99"/>
      <c r="AL145" s="99">
        <f t="shared" si="27"/>
        <v>0</v>
      </c>
      <c r="AM145" s="117">
        <f t="shared" si="26"/>
        <v>0</v>
      </c>
      <c r="AN145" s="99"/>
    </row>
    <row r="146" spans="16:44">
      <c r="R146" s="32" t="s">
        <v>4580</v>
      </c>
      <c r="S146" s="32" t="s">
        <v>950</v>
      </c>
      <c r="T146" t="s">
        <v>25</v>
      </c>
      <c r="U146" s="96" t="s">
        <v>25</v>
      </c>
      <c r="V146" s="96" t="s">
        <v>25</v>
      </c>
      <c r="W146" s="96" t="s">
        <v>25</v>
      </c>
      <c r="X146" s="122" t="s">
        <v>25</v>
      </c>
      <c r="Y146" t="s">
        <v>4918</v>
      </c>
      <c r="AH146" s="99"/>
      <c r="AI146" s="113"/>
      <c r="AJ146" s="113"/>
      <c r="AK146" s="99"/>
      <c r="AL146" s="99">
        <f t="shared" si="27"/>
        <v>0</v>
      </c>
      <c r="AM146" s="117">
        <f t="shared" si="26"/>
        <v>0</v>
      </c>
      <c r="AN146" s="99"/>
    </row>
    <row r="147" spans="16:44">
      <c r="R147" s="32">
        <v>2480</v>
      </c>
      <c r="S147" s="239">
        <v>13041741</v>
      </c>
      <c r="U147" s="96" t="s">
        <v>25</v>
      </c>
      <c r="V147" s="122" t="s">
        <v>25</v>
      </c>
      <c r="X147" t="s">
        <v>25</v>
      </c>
      <c r="Y147" s="95">
        <v>33906300</v>
      </c>
      <c r="AH147" s="99"/>
      <c r="AI147" s="113"/>
      <c r="AJ147" s="113"/>
      <c r="AK147" s="99"/>
      <c r="AL147" s="99">
        <f t="shared" si="27"/>
        <v>0</v>
      </c>
      <c r="AM147" s="117">
        <f t="shared" si="26"/>
        <v>0</v>
      </c>
      <c r="AN147" s="99"/>
    </row>
    <row r="148" spans="16:44">
      <c r="Q148" t="s">
        <v>25</v>
      </c>
      <c r="R148" s="32">
        <v>1450</v>
      </c>
      <c r="S148" s="1">
        <f>S147*R148/R147</f>
        <v>7625211.4717741935</v>
      </c>
      <c r="U148" s="96" t="s">
        <v>25</v>
      </c>
      <c r="V148" s="122" t="s">
        <v>25</v>
      </c>
      <c r="W148" s="96" t="s">
        <v>25</v>
      </c>
      <c r="X148" t="s">
        <v>25</v>
      </c>
      <c r="AH148" s="99"/>
      <c r="AI148" s="99"/>
      <c r="AJ148" s="95">
        <f>SUM(AJ20:AJ147)</f>
        <v>539986086</v>
      </c>
      <c r="AK148" s="99"/>
      <c r="AL148" s="99"/>
      <c r="AM148" s="95">
        <f>SUM(AM20:AM147)</f>
        <v>58258571285</v>
      </c>
      <c r="AN148" s="95">
        <f>AM148*AN151/31</f>
        <v>31322438.955067586</v>
      </c>
      <c r="AR148" t="s">
        <v>25</v>
      </c>
    </row>
    <row r="149" spans="16:44">
      <c r="R149" s="32">
        <f>R147-R148</f>
        <v>1030</v>
      </c>
      <c r="S149" s="1">
        <f>R149*S147/R147</f>
        <v>5416529.5282258065</v>
      </c>
      <c r="V149" s="96"/>
      <c r="W149"/>
      <c r="Z149" t="s">
        <v>4919</v>
      </c>
      <c r="AH149" s="99"/>
      <c r="AI149" s="99"/>
      <c r="AJ149" s="99" t="s">
        <v>4059</v>
      </c>
      <c r="AK149" s="99"/>
      <c r="AL149" s="99"/>
      <c r="AM149" s="99" t="s">
        <v>284</v>
      </c>
      <c r="AN149" s="99" t="s">
        <v>943</v>
      </c>
    </row>
    <row r="150" spans="16:44">
      <c r="V150" s="96"/>
      <c r="W150"/>
      <c r="Y150" s="95">
        <f>Y147*W154/100</f>
        <v>17482701.6653773</v>
      </c>
      <c r="Z150" s="95">
        <v>1663925</v>
      </c>
      <c r="AA150" s="114">
        <f>Y150-Z150</f>
        <v>15818776.6653773</v>
      </c>
      <c r="AB150" t="s">
        <v>4920</v>
      </c>
      <c r="AH150" s="99"/>
      <c r="AI150" s="99"/>
      <c r="AJ150" s="99"/>
      <c r="AK150" s="99"/>
      <c r="AL150" s="99"/>
      <c r="AM150" s="99"/>
      <c r="AN150" s="99"/>
    </row>
    <row r="151" spans="16:44">
      <c r="Q151" s="99" t="s">
        <v>4463</v>
      </c>
      <c r="R151" s="99" t="s">
        <v>4465</v>
      </c>
      <c r="S151" s="99"/>
      <c r="T151" s="99" t="s">
        <v>4466</v>
      </c>
      <c r="U151" s="99"/>
      <c r="V151" s="99"/>
      <c r="W151" s="99" t="s">
        <v>4583</v>
      </c>
      <c r="Y151" s="95">
        <f>Y147*W155/100</f>
        <v>15815128.693383083</v>
      </c>
      <c r="AA151" s="114">
        <f>Y151+Z150</f>
        <v>17479053.693383083</v>
      </c>
      <c r="AB151" t="s">
        <v>4921</v>
      </c>
      <c r="AH151" s="99"/>
      <c r="AI151" s="99"/>
      <c r="AJ151" s="99"/>
      <c r="AK151" s="99"/>
      <c r="AL151" s="99"/>
      <c r="AM151" s="99" t="s">
        <v>4060</v>
      </c>
      <c r="AN151" s="99">
        <v>1.6667000000000001E-2</v>
      </c>
    </row>
    <row r="152" spans="16:44">
      <c r="Q152" s="113">
        <v>1000</v>
      </c>
      <c r="R152" s="99">
        <v>0.25</v>
      </c>
      <c r="S152" s="99"/>
      <c r="T152" s="99">
        <f>1-R152</f>
        <v>0.75</v>
      </c>
      <c r="U152" s="99"/>
      <c r="V152" s="99"/>
      <c r="W152" s="99"/>
      <c r="Y152" s="95">
        <f>Y147*W156/100</f>
        <v>608469.64123961644</v>
      </c>
      <c r="AA152" s="114">
        <f>Y152</f>
        <v>608469.64123961644</v>
      </c>
      <c r="AB152" t="s">
        <v>4922</v>
      </c>
      <c r="AH152" s="99"/>
      <c r="AI152" s="99"/>
      <c r="AJ152" s="99"/>
      <c r="AK152" s="99"/>
      <c r="AL152" s="99"/>
      <c r="AM152" s="99"/>
      <c r="AN152" s="99"/>
    </row>
    <row r="153" spans="16:44">
      <c r="Q153" s="168" t="s">
        <v>4450</v>
      </c>
      <c r="R153" s="168" t="s">
        <v>4468</v>
      </c>
      <c r="S153" s="168" t="s">
        <v>4470</v>
      </c>
      <c r="T153" s="168" t="s">
        <v>180</v>
      </c>
      <c r="U153" s="168" t="s">
        <v>4464</v>
      </c>
      <c r="V153" s="56" t="s">
        <v>4467</v>
      </c>
      <c r="W153" s="99"/>
      <c r="X153" s="115"/>
      <c r="AH153" s="99"/>
      <c r="AI153" s="99" t="s">
        <v>4061</v>
      </c>
      <c r="AJ153" s="95">
        <f>AJ148+AN148</f>
        <v>571308524.95506763</v>
      </c>
      <c r="AK153" s="99"/>
      <c r="AL153" s="99"/>
      <c r="AM153" s="99"/>
      <c r="AN153" s="99"/>
    </row>
    <row r="154" spans="16:44">
      <c r="Q154" s="168" t="s">
        <v>751</v>
      </c>
      <c r="R154" s="56">
        <v>1661586</v>
      </c>
      <c r="S154" s="113">
        <f>R154*$T$223</f>
        <v>442696878.08912426</v>
      </c>
      <c r="T154" s="168" t="s">
        <v>4462</v>
      </c>
      <c r="U154" s="168">
        <f>$Q$152*$T$152*S154/$R$178</f>
        <v>386.71356795147148</v>
      </c>
      <c r="V154" s="95">
        <f>S154+U154</f>
        <v>442697264.80269223</v>
      </c>
      <c r="W154" s="99">
        <f>R154*100/U220</f>
        <v>51.56180906019619</v>
      </c>
      <c r="X154" s="221"/>
      <c r="AI154" t="s">
        <v>4064</v>
      </c>
      <c r="AJ154" s="114">
        <f>SUM(N47:N64)</f>
        <v>595008940.89999998</v>
      </c>
    </row>
    <row r="155" spans="16:44">
      <c r="P155">
        <f>R155+15257</f>
        <v>1518354</v>
      </c>
      <c r="Q155" s="168" t="s">
        <v>4452</v>
      </c>
      <c r="R155" s="56">
        <v>1503097</v>
      </c>
      <c r="S155" s="113">
        <f>R155*$T$223</f>
        <v>400470604.2089476</v>
      </c>
      <c r="T155" s="168" t="s">
        <v>4462</v>
      </c>
      <c r="U155" s="168">
        <f>$Q$152*$T$152*S155/$R$178+Q152*R152</f>
        <v>599.82721559230333</v>
      </c>
      <c r="V155" s="95">
        <f>S155+U155</f>
        <v>400471204.03616321</v>
      </c>
      <c r="W155" s="99">
        <f>R155*100/U220</f>
        <v>46.643628745640434</v>
      </c>
      <c r="X155" s="115"/>
      <c r="AI155" t="s">
        <v>4136</v>
      </c>
      <c r="AJ155" s="114">
        <f>AJ154-AJ148</f>
        <v>55022854.899999976</v>
      </c>
      <c r="AM155" t="s">
        <v>25</v>
      </c>
    </row>
    <row r="156" spans="16:44">
      <c r="Q156" s="168" t="s">
        <v>4451</v>
      </c>
      <c r="R156" s="56">
        <v>57830</v>
      </c>
      <c r="S156" s="113">
        <f>R156*$T$223</f>
        <v>15407665.001928311</v>
      </c>
      <c r="T156" s="168" t="s">
        <v>4462</v>
      </c>
      <c r="U156" s="168">
        <f>$Q$152*$T$152*S156/$R$178</f>
        <v>13.459216456225313</v>
      </c>
      <c r="V156" s="95">
        <f>S156+U156</f>
        <v>15407678.461144768</v>
      </c>
      <c r="W156" s="99">
        <f>R156*100/U220</f>
        <v>1.7945621941633749</v>
      </c>
      <c r="X156" s="115"/>
      <c r="AI156" t="s">
        <v>943</v>
      </c>
      <c r="AJ156" s="114">
        <f>AN148</f>
        <v>31322438.955067586</v>
      </c>
    </row>
    <row r="157" spans="16:44">
      <c r="P157" s="114"/>
      <c r="Q157" s="168"/>
      <c r="R157" s="56"/>
      <c r="S157" s="168"/>
      <c r="T157" s="168"/>
      <c r="U157" s="168"/>
      <c r="V157" s="99"/>
      <c r="W157" s="99"/>
      <c r="X157" s="115"/>
      <c r="AI157" t="s">
        <v>4065</v>
      </c>
      <c r="AJ157" s="114">
        <f>AJ154-AJ153</f>
        <v>23700415.944932342</v>
      </c>
      <c r="AN157" t="s">
        <v>25</v>
      </c>
    </row>
    <row r="158" spans="16:44">
      <c r="Q158" s="168"/>
      <c r="R158" s="56"/>
      <c r="S158" s="168"/>
      <c r="T158" s="168"/>
      <c r="U158" s="168"/>
      <c r="V158" s="168"/>
      <c r="W158" s="99"/>
      <c r="X158" s="96"/>
      <c r="AM158" t="s">
        <v>25</v>
      </c>
    </row>
    <row r="159" spans="16:44">
      <c r="Q159" s="168"/>
      <c r="R159" s="168"/>
      <c r="S159" s="168"/>
      <c r="T159" s="168"/>
      <c r="U159" s="168"/>
      <c r="V159" s="168"/>
      <c r="W159" s="99"/>
      <c r="X159" s="96"/>
      <c r="AJ159" t="s">
        <v>25</v>
      </c>
    </row>
    <row r="160" spans="16:44">
      <c r="Q160" s="99"/>
      <c r="R160" s="99"/>
      <c r="S160" s="99"/>
      <c r="T160" s="99" t="s">
        <v>25</v>
      </c>
      <c r="U160" s="99"/>
      <c r="V160" s="99"/>
      <c r="W160" s="99"/>
      <c r="X160" s="96"/>
    </row>
    <row r="161" spans="16:40">
      <c r="Q161" s="99"/>
      <c r="R161" s="99"/>
      <c r="S161" s="99"/>
      <c r="T161" s="99"/>
      <c r="U161" s="99"/>
      <c r="V161" s="99"/>
      <c r="W161" s="99"/>
      <c r="X161" s="96"/>
    </row>
    <row r="162" spans="16:40">
      <c r="P162" s="114"/>
      <c r="Q162" s="99"/>
      <c r="R162" s="99"/>
      <c r="S162" s="99"/>
      <c r="T162" s="99"/>
      <c r="U162" s="99"/>
      <c r="V162" s="99"/>
      <c r="W162" s="99"/>
      <c r="X162" s="96"/>
    </row>
    <row r="163" spans="16:40">
      <c r="Q163" s="96"/>
      <c r="R163" s="96"/>
      <c r="S163" s="96"/>
      <c r="T163" s="96"/>
      <c r="V163" s="96"/>
      <c r="X163" s="115"/>
    </row>
    <row r="164" spans="16:40">
      <c r="Q164" s="96"/>
      <c r="R164" s="96"/>
      <c r="S164" s="96"/>
      <c r="T164" s="96"/>
      <c r="V164" s="96"/>
      <c r="AH164" s="99" t="s">
        <v>3641</v>
      </c>
      <c r="AI164" s="99" t="s">
        <v>180</v>
      </c>
      <c r="AJ164" s="99" t="s">
        <v>267</v>
      </c>
      <c r="AK164" s="99" t="s">
        <v>4058</v>
      </c>
      <c r="AL164" s="99" t="s">
        <v>4050</v>
      </c>
      <c r="AM164" s="99" t="s">
        <v>282</v>
      </c>
      <c r="AN164" s="99" t="s">
        <v>4293</v>
      </c>
    </row>
    <row r="165" spans="16:40">
      <c r="P165" s="114"/>
      <c r="Q165" s="96"/>
      <c r="R165" s="96"/>
      <c r="S165" s="96"/>
      <c r="T165" s="96" t="s">
        <v>25</v>
      </c>
      <c r="V165" s="96"/>
      <c r="AH165" s="99">
        <v>1</v>
      </c>
      <c r="AI165" s="99" t="s">
        <v>3949</v>
      </c>
      <c r="AJ165" s="117">
        <v>3555820</v>
      </c>
      <c r="AK165" s="99">
        <v>2</v>
      </c>
      <c r="AL165" s="99">
        <f>AK165+AL166</f>
        <v>229</v>
      </c>
      <c r="AM165" s="99">
        <f>AJ165*AL165</f>
        <v>814282780</v>
      </c>
      <c r="AN165" s="99" t="s">
        <v>4313</v>
      </c>
    </row>
    <row r="166" spans="16:40">
      <c r="P166" s="114"/>
      <c r="Q166" s="96"/>
      <c r="R166" s="96"/>
      <c r="S166" s="96"/>
      <c r="T166" s="96"/>
      <c r="V166" s="96"/>
      <c r="AH166" s="99">
        <v>2</v>
      </c>
      <c r="AI166" s="99" t="s">
        <v>4024</v>
      </c>
      <c r="AJ166" s="117">
        <v>1720837</v>
      </c>
      <c r="AK166" s="99">
        <v>51</v>
      </c>
      <c r="AL166" s="99">
        <f t="shared" ref="AL166:AL175" si="29">AK166+AL167</f>
        <v>227</v>
      </c>
      <c r="AM166" s="99">
        <f t="shared" ref="AM166:AM194" si="30">AJ166*AL166</f>
        <v>390629999</v>
      </c>
      <c r="AN166" s="99" t="s">
        <v>4314</v>
      </c>
    </row>
    <row r="167" spans="16:40">
      <c r="Q167" s="96"/>
      <c r="R167" s="96"/>
      <c r="S167" s="96"/>
      <c r="T167" s="99" t="s">
        <v>180</v>
      </c>
      <c r="U167" s="99" t="s">
        <v>4486</v>
      </c>
      <c r="V167" s="99" t="s">
        <v>4487</v>
      </c>
      <c r="W167" s="99" t="s">
        <v>4497</v>
      </c>
      <c r="X167" s="99" t="s">
        <v>8</v>
      </c>
      <c r="AH167" s="99">
        <v>3</v>
      </c>
      <c r="AI167" s="99" t="s">
        <v>4130</v>
      </c>
      <c r="AJ167" s="117">
        <v>150000</v>
      </c>
      <c r="AK167" s="99">
        <v>3</v>
      </c>
      <c r="AL167" s="99">
        <f t="shared" si="29"/>
        <v>176</v>
      </c>
      <c r="AM167" s="99">
        <f t="shared" si="30"/>
        <v>26400000</v>
      </c>
      <c r="AN167" s="99"/>
    </row>
    <row r="168" spans="16:40">
      <c r="Q168" s="36" t="s">
        <v>4579</v>
      </c>
      <c r="R168" s="95">
        <f>SUM(N49:N64)</f>
        <v>592592627.89999998</v>
      </c>
      <c r="T168" s="113" t="s">
        <v>4462</v>
      </c>
      <c r="U168" s="56">
        <v>1000000</v>
      </c>
      <c r="V168" s="113">
        <v>239.024</v>
      </c>
      <c r="W168" s="113">
        <f t="shared" ref="W168:W215" si="31">U168*V168</f>
        <v>239024000</v>
      </c>
      <c r="X168" s="99"/>
      <c r="AH168" s="99">
        <v>4</v>
      </c>
      <c r="AI168" s="99" t="s">
        <v>4145</v>
      </c>
      <c r="AJ168" s="117">
        <v>-95000</v>
      </c>
      <c r="AK168" s="99">
        <v>8</v>
      </c>
      <c r="AL168" s="99">
        <f t="shared" si="29"/>
        <v>173</v>
      </c>
      <c r="AM168" s="99">
        <f t="shared" si="30"/>
        <v>-16435000</v>
      </c>
      <c r="AN168" s="99"/>
    </row>
    <row r="169" spans="16:40">
      <c r="Q169" s="99" t="s">
        <v>4453</v>
      </c>
      <c r="R169" s="95">
        <f>SUM(N21:N28)</f>
        <v>260160724.80000001</v>
      </c>
      <c r="T169" s="168" t="s">
        <v>4444</v>
      </c>
      <c r="U169" s="56">
        <v>5904</v>
      </c>
      <c r="V169" s="113">
        <v>237.148</v>
      </c>
      <c r="W169" s="113">
        <f t="shared" si="31"/>
        <v>1400121.7919999999</v>
      </c>
      <c r="X169" s="99" t="s">
        <v>751</v>
      </c>
      <c r="AH169" s="99">
        <v>5</v>
      </c>
      <c r="AI169" s="99" t="s">
        <v>4172</v>
      </c>
      <c r="AJ169" s="117">
        <v>3150000</v>
      </c>
      <c r="AK169" s="99">
        <v>16</v>
      </c>
      <c r="AL169" s="99">
        <f t="shared" si="29"/>
        <v>165</v>
      </c>
      <c r="AM169" s="99">
        <f t="shared" si="30"/>
        <v>519750000</v>
      </c>
      <c r="AN169" s="99"/>
    </row>
    <row r="170" spans="16:40">
      <c r="Q170" s="99" t="s">
        <v>4454</v>
      </c>
      <c r="R170" s="95">
        <f>SUM(N31:N36)</f>
        <v>4850431.5999999996</v>
      </c>
      <c r="T170" s="168" t="s">
        <v>4232</v>
      </c>
      <c r="U170" s="168">
        <v>1000</v>
      </c>
      <c r="V170" s="113">
        <v>247.393</v>
      </c>
      <c r="W170" s="113">
        <f t="shared" si="31"/>
        <v>247393</v>
      </c>
      <c r="X170" s="99" t="s">
        <v>751</v>
      </c>
      <c r="AH170" s="99">
        <v>6</v>
      </c>
      <c r="AI170" s="99" t="s">
        <v>4241</v>
      </c>
      <c r="AJ170" s="117">
        <v>-65000</v>
      </c>
      <c r="AK170" s="99">
        <v>1</v>
      </c>
      <c r="AL170" s="99">
        <f t="shared" si="29"/>
        <v>149</v>
      </c>
      <c r="AM170" s="99">
        <f t="shared" si="30"/>
        <v>-9685000</v>
      </c>
      <c r="AN170" s="99"/>
    </row>
    <row r="171" spans="16:40">
      <c r="P171" s="114"/>
      <c r="Q171" s="99" t="s">
        <v>4455</v>
      </c>
      <c r="R171" s="95">
        <f>N47</f>
        <v>2416313</v>
      </c>
      <c r="T171" s="168" t="s">
        <v>4499</v>
      </c>
      <c r="U171" s="168">
        <v>8071</v>
      </c>
      <c r="V171" s="113">
        <v>247.797</v>
      </c>
      <c r="W171" s="113">
        <f t="shared" si="31"/>
        <v>1999969.5870000001</v>
      </c>
      <c r="X171" s="99" t="s">
        <v>4451</v>
      </c>
      <c r="AH171" s="99">
        <v>7</v>
      </c>
      <c r="AI171" s="99" t="s">
        <v>4315</v>
      </c>
      <c r="AJ171" s="117">
        <v>-95000</v>
      </c>
      <c r="AK171" s="99">
        <v>6</v>
      </c>
      <c r="AL171" s="99">
        <f t="shared" si="29"/>
        <v>148</v>
      </c>
      <c r="AM171" s="99">
        <f t="shared" si="30"/>
        <v>-14060000</v>
      </c>
      <c r="AN171" s="99"/>
    </row>
    <row r="172" spans="16:40">
      <c r="P172" s="114"/>
      <c r="Q172" s="99" t="s">
        <v>4456</v>
      </c>
      <c r="R172" s="95">
        <f>N20</f>
        <v>141914</v>
      </c>
      <c r="T172" s="168" t="s">
        <v>4499</v>
      </c>
      <c r="U172" s="168">
        <v>53672</v>
      </c>
      <c r="V172" s="113">
        <v>247.797</v>
      </c>
      <c r="W172" s="113">
        <f t="shared" si="31"/>
        <v>13299760.584000001</v>
      </c>
      <c r="X172" s="99" t="s">
        <v>452</v>
      </c>
      <c r="AH172" s="99">
        <v>8</v>
      </c>
      <c r="AI172" s="99" t="s">
        <v>4316</v>
      </c>
      <c r="AJ172" s="117">
        <v>232000</v>
      </c>
      <c r="AK172" s="99">
        <v>7</v>
      </c>
      <c r="AL172" s="99">
        <f t="shared" si="29"/>
        <v>142</v>
      </c>
      <c r="AM172" s="99">
        <f t="shared" si="30"/>
        <v>32944000</v>
      </c>
      <c r="AN172" s="99"/>
    </row>
    <row r="173" spans="16:40">
      <c r="Q173" s="99" t="s">
        <v>4457</v>
      </c>
      <c r="R173" s="95">
        <f>N30</f>
        <v>164172</v>
      </c>
      <c r="T173" s="168" t="s">
        <v>4509</v>
      </c>
      <c r="U173" s="168">
        <v>4099</v>
      </c>
      <c r="V173" s="113">
        <v>243.93</v>
      </c>
      <c r="W173" s="113">
        <f t="shared" si="31"/>
        <v>999869.07000000007</v>
      </c>
      <c r="X173" s="99" t="s">
        <v>4451</v>
      </c>
      <c r="AH173" s="99">
        <v>9</v>
      </c>
      <c r="AI173" s="99" t="s">
        <v>4292</v>
      </c>
      <c r="AJ173" s="117">
        <v>13000000</v>
      </c>
      <c r="AK173" s="99">
        <v>2</v>
      </c>
      <c r="AL173" s="99">
        <f t="shared" si="29"/>
        <v>135</v>
      </c>
      <c r="AM173" s="99">
        <f t="shared" si="30"/>
        <v>1755000000</v>
      </c>
      <c r="AN173" s="99"/>
    </row>
    <row r="174" spans="16:40">
      <c r="Q174" s="99" t="s">
        <v>4469</v>
      </c>
      <c r="R174" s="95">
        <v>0</v>
      </c>
      <c r="T174" s="168" t="s">
        <v>4509</v>
      </c>
      <c r="U174" s="168">
        <v>9301</v>
      </c>
      <c r="V174" s="113">
        <v>243.93</v>
      </c>
      <c r="W174" s="113">
        <f t="shared" si="31"/>
        <v>2268792.9300000002</v>
      </c>
      <c r="X174" s="99" t="s">
        <v>452</v>
      </c>
      <c r="AH174" s="99">
        <v>10</v>
      </c>
      <c r="AI174" s="99" t="s">
        <v>4317</v>
      </c>
      <c r="AJ174" s="117">
        <v>10000000</v>
      </c>
      <c r="AK174" s="99">
        <v>3</v>
      </c>
      <c r="AL174" s="99">
        <f t="shared" si="29"/>
        <v>133</v>
      </c>
      <c r="AM174" s="99">
        <f t="shared" si="30"/>
        <v>1330000000</v>
      </c>
      <c r="AN174" s="99"/>
    </row>
    <row r="175" spans="16:40">
      <c r="Q175" s="99" t="s">
        <v>4913</v>
      </c>
      <c r="R175" s="95">
        <v>-2250000</v>
      </c>
      <c r="T175" s="168" t="s">
        <v>4515</v>
      </c>
      <c r="U175" s="168">
        <v>8334</v>
      </c>
      <c r="V175" s="113">
        <v>239.97</v>
      </c>
      <c r="W175" s="113">
        <f t="shared" si="31"/>
        <v>1999909.98</v>
      </c>
      <c r="X175" s="99" t="s">
        <v>4451</v>
      </c>
      <c r="Y175" t="s">
        <v>25</v>
      </c>
      <c r="AH175" s="99">
        <v>11</v>
      </c>
      <c r="AI175" s="99" t="s">
        <v>4305</v>
      </c>
      <c r="AJ175" s="117">
        <v>3400000</v>
      </c>
      <c r="AK175" s="99">
        <v>9</v>
      </c>
      <c r="AL175" s="99">
        <f t="shared" si="29"/>
        <v>130</v>
      </c>
      <c r="AM175" s="99">
        <f t="shared" si="30"/>
        <v>442000000</v>
      </c>
      <c r="AN175" s="99"/>
    </row>
    <row r="176" spans="16:40">
      <c r="P176" s="114"/>
      <c r="Q176" s="99" t="s">
        <v>4748</v>
      </c>
      <c r="R176" s="95">
        <v>500000</v>
      </c>
      <c r="T176" s="168" t="s">
        <v>4231</v>
      </c>
      <c r="U176" s="168">
        <v>29041</v>
      </c>
      <c r="V176" s="113">
        <v>233.45</v>
      </c>
      <c r="W176" s="113">
        <f t="shared" si="31"/>
        <v>6779621.4499999993</v>
      </c>
      <c r="X176" s="99" t="s">
        <v>751</v>
      </c>
      <c r="AH176" s="99">
        <v>12</v>
      </c>
      <c r="AI176" s="99" t="s">
        <v>4347</v>
      </c>
      <c r="AJ176" s="117">
        <v>-8736514</v>
      </c>
      <c r="AK176" s="99">
        <v>1</v>
      </c>
      <c r="AL176" s="99">
        <f>AK176+AL177</f>
        <v>121</v>
      </c>
      <c r="AM176" s="99">
        <f t="shared" si="30"/>
        <v>-1057118194</v>
      </c>
      <c r="AN176" s="99"/>
    </row>
    <row r="177" spans="16:44">
      <c r="Q177" s="99" t="s">
        <v>4728</v>
      </c>
      <c r="R177" s="95">
        <v>-1036</v>
      </c>
      <c r="S177" s="115"/>
      <c r="T177" s="168" t="s">
        <v>994</v>
      </c>
      <c r="U177" s="168">
        <v>12337</v>
      </c>
      <c r="V177" s="113">
        <v>243.16300000000001</v>
      </c>
      <c r="W177" s="113">
        <f t="shared" si="31"/>
        <v>2999901.9310000003</v>
      </c>
      <c r="X177" s="99" t="s">
        <v>4451</v>
      </c>
      <c r="AH177" s="99">
        <v>13</v>
      </c>
      <c r="AI177" s="99" t="s">
        <v>4348</v>
      </c>
      <c r="AJ177" s="117">
        <v>555000</v>
      </c>
      <c r="AK177" s="99">
        <v>5</v>
      </c>
      <c r="AL177" s="99">
        <f t="shared" ref="AL177:AL193" si="32">AK177+AL178</f>
        <v>120</v>
      </c>
      <c r="AM177" s="99">
        <f t="shared" si="30"/>
        <v>66600000</v>
      </c>
      <c r="AN177" s="99"/>
    </row>
    <row r="178" spans="16:44">
      <c r="P178" s="114"/>
      <c r="Q178" s="99" t="s">
        <v>4461</v>
      </c>
      <c r="R178" s="95">
        <f>SUM(R168:R177)</f>
        <v>858575147.30000007</v>
      </c>
      <c r="S178" s="122"/>
      <c r="T178" s="168" t="s">
        <v>4602</v>
      </c>
      <c r="U178" s="168">
        <v>-16118</v>
      </c>
      <c r="V178" s="113">
        <v>248.17</v>
      </c>
      <c r="W178" s="113">
        <f t="shared" si="31"/>
        <v>-4000004.0599999996</v>
      </c>
      <c r="X178" s="99" t="s">
        <v>751</v>
      </c>
      <c r="AH178" s="99">
        <v>14</v>
      </c>
      <c r="AI178" s="99" t="s">
        <v>4372</v>
      </c>
      <c r="AJ178" s="117">
        <v>-448308</v>
      </c>
      <c r="AK178" s="99">
        <v>6</v>
      </c>
      <c r="AL178" s="99">
        <f t="shared" si="32"/>
        <v>115</v>
      </c>
      <c r="AM178" s="99">
        <f t="shared" si="30"/>
        <v>-51555420</v>
      </c>
      <c r="AN178" s="99"/>
    </row>
    <row r="179" spans="16:44">
      <c r="P179" s="114"/>
      <c r="Q179" s="96"/>
      <c r="S179" s="115"/>
      <c r="T179" s="168" t="s">
        <v>4633</v>
      </c>
      <c r="U179" s="168">
        <v>101681</v>
      </c>
      <c r="V179" s="113">
        <v>246.5711</v>
      </c>
      <c r="W179" s="113">
        <f t="shared" si="31"/>
        <v>25071596.019099999</v>
      </c>
      <c r="X179" s="99" t="s">
        <v>452</v>
      </c>
      <c r="AH179" s="99">
        <v>15</v>
      </c>
      <c r="AI179" s="99" t="s">
        <v>4404</v>
      </c>
      <c r="AJ179" s="117">
        <v>33225</v>
      </c>
      <c r="AK179" s="99">
        <v>0</v>
      </c>
      <c r="AL179" s="99">
        <f t="shared" si="32"/>
        <v>109</v>
      </c>
      <c r="AM179" s="99">
        <f t="shared" si="30"/>
        <v>3621525</v>
      </c>
      <c r="AN179" s="99"/>
    </row>
    <row r="180" spans="16:44">
      <c r="Q180" s="96"/>
      <c r="R180" s="182"/>
      <c r="S180" s="115"/>
      <c r="T180" s="168" t="s">
        <v>4638</v>
      </c>
      <c r="U180" s="168">
        <v>66606</v>
      </c>
      <c r="V180" s="113">
        <v>251.131</v>
      </c>
      <c r="W180" s="113">
        <f t="shared" si="31"/>
        <v>16726831.386</v>
      </c>
      <c r="X180" s="99" t="s">
        <v>751</v>
      </c>
      <c r="AH180" s="149">
        <v>16</v>
      </c>
      <c r="AI180" s="149" t="s">
        <v>4404</v>
      </c>
      <c r="AJ180" s="189">
        <v>4098523</v>
      </c>
      <c r="AK180" s="149">
        <v>2</v>
      </c>
      <c r="AL180" s="149">
        <f t="shared" si="32"/>
        <v>109</v>
      </c>
      <c r="AM180" s="149">
        <f t="shared" si="30"/>
        <v>446739007</v>
      </c>
      <c r="AN180" s="149" t="s">
        <v>657</v>
      </c>
    </row>
    <row r="181" spans="16:44">
      <c r="Q181" s="96"/>
      <c r="R181" s="182"/>
      <c r="T181" s="168" t="s">
        <v>4645</v>
      </c>
      <c r="U181" s="168">
        <v>172025</v>
      </c>
      <c r="V181" s="113">
        <v>245.52809999999999</v>
      </c>
      <c r="W181" s="113">
        <f t="shared" si="31"/>
        <v>42236971.402499996</v>
      </c>
      <c r="X181" s="99" t="s">
        <v>452</v>
      </c>
      <c r="AH181" s="149">
        <v>17</v>
      </c>
      <c r="AI181" s="149" t="s">
        <v>4417</v>
      </c>
      <c r="AJ181" s="189">
        <v>-1000000</v>
      </c>
      <c r="AK181" s="149">
        <v>7</v>
      </c>
      <c r="AL181" s="149">
        <f t="shared" si="32"/>
        <v>107</v>
      </c>
      <c r="AM181" s="149">
        <f t="shared" si="30"/>
        <v>-107000000</v>
      </c>
      <c r="AN181" s="149" t="s">
        <v>657</v>
      </c>
    </row>
    <row r="182" spans="16:44">
      <c r="Q182" s="96"/>
      <c r="R182" s="115"/>
      <c r="T182" s="168" t="s">
        <v>4645</v>
      </c>
      <c r="U182" s="168">
        <v>189227</v>
      </c>
      <c r="V182" s="113">
        <v>245.52809999999999</v>
      </c>
      <c r="W182" s="113">
        <f t="shared" si="31"/>
        <v>46460545.778700002</v>
      </c>
      <c r="X182" s="99" t="s">
        <v>751</v>
      </c>
      <c r="AH182" s="149">
        <v>18</v>
      </c>
      <c r="AI182" s="149" t="s">
        <v>4440</v>
      </c>
      <c r="AJ182" s="189">
        <v>750000</v>
      </c>
      <c r="AK182" s="149">
        <v>1</v>
      </c>
      <c r="AL182" s="149">
        <f t="shared" si="32"/>
        <v>100</v>
      </c>
      <c r="AM182" s="149">
        <f t="shared" si="30"/>
        <v>75000000</v>
      </c>
      <c r="AN182" s="149" t="s">
        <v>657</v>
      </c>
      <c r="AR182" t="s">
        <v>25</v>
      </c>
    </row>
    <row r="183" spans="16:44">
      <c r="T183" s="168" t="s">
        <v>4648</v>
      </c>
      <c r="U183" s="168">
        <v>79720</v>
      </c>
      <c r="V183" s="113">
        <v>246.6568</v>
      </c>
      <c r="W183" s="113">
        <f t="shared" si="31"/>
        <v>19663480.096000001</v>
      </c>
      <c r="X183" s="99" t="s">
        <v>452</v>
      </c>
      <c r="AH183" s="196">
        <v>19</v>
      </c>
      <c r="AI183" s="196" t="s">
        <v>4442</v>
      </c>
      <c r="AJ183" s="197">
        <v>-604152</v>
      </c>
      <c r="AK183" s="196">
        <v>0</v>
      </c>
      <c r="AL183" s="196">
        <f t="shared" si="32"/>
        <v>99</v>
      </c>
      <c r="AM183" s="196">
        <f t="shared" si="30"/>
        <v>-59811048</v>
      </c>
      <c r="AN183" s="196" t="s">
        <v>657</v>
      </c>
    </row>
    <row r="184" spans="16:44">
      <c r="Q184" s="99" t="s">
        <v>4451</v>
      </c>
      <c r="R184" s="99"/>
      <c r="T184" s="168" t="s">
        <v>4648</v>
      </c>
      <c r="U184" s="168">
        <v>79720</v>
      </c>
      <c r="V184" s="113">
        <v>246.6568</v>
      </c>
      <c r="W184" s="113">
        <f t="shared" si="31"/>
        <v>19663480.096000001</v>
      </c>
      <c r="X184" s="99" t="s">
        <v>751</v>
      </c>
      <c r="AH184" s="99">
        <v>20</v>
      </c>
      <c r="AI184" s="99" t="s">
        <v>4443</v>
      </c>
      <c r="AJ184" s="117">
        <v>-587083</v>
      </c>
      <c r="AK184" s="99">
        <v>4</v>
      </c>
      <c r="AL184" s="99">
        <f t="shared" si="32"/>
        <v>99</v>
      </c>
      <c r="AM184" s="99">
        <f t="shared" si="30"/>
        <v>-58121217</v>
      </c>
      <c r="AN184" s="99"/>
    </row>
    <row r="185" spans="16:44">
      <c r="Q185" s="36" t="s">
        <v>180</v>
      </c>
      <c r="R185" s="99" t="s">
        <v>267</v>
      </c>
      <c r="T185" s="168" t="s">
        <v>4675</v>
      </c>
      <c r="U185" s="168">
        <v>17769</v>
      </c>
      <c r="V185" s="113">
        <v>246.17877999999999</v>
      </c>
      <c r="W185" s="113">
        <f t="shared" si="31"/>
        <v>4374350.7418200001</v>
      </c>
      <c r="X185" s="99" t="s">
        <v>751</v>
      </c>
      <c r="Y185" t="s">
        <v>25</v>
      </c>
      <c r="AH185" s="196">
        <v>21</v>
      </c>
      <c r="AI185" s="196" t="s">
        <v>4444</v>
      </c>
      <c r="AJ185" s="197">
        <v>-754351</v>
      </c>
      <c r="AK185" s="196">
        <v>0</v>
      </c>
      <c r="AL185" s="149">
        <f t="shared" si="32"/>
        <v>95</v>
      </c>
      <c r="AM185" s="196">
        <f t="shared" si="30"/>
        <v>-71663345</v>
      </c>
      <c r="AN185" s="196" t="s">
        <v>657</v>
      </c>
    </row>
    <row r="186" spans="16:44">
      <c r="Q186" s="99" t="s">
        <v>4444</v>
      </c>
      <c r="R186" s="95">
        <v>3000000</v>
      </c>
      <c r="T186" s="168" t="s">
        <v>4675</v>
      </c>
      <c r="U186" s="168">
        <v>17769</v>
      </c>
      <c r="V186" s="113">
        <v>246.17877999999999</v>
      </c>
      <c r="W186" s="113">
        <f t="shared" si="31"/>
        <v>4374350.7418200001</v>
      </c>
      <c r="X186" s="99" t="s">
        <v>452</v>
      </c>
      <c r="AH186" s="99">
        <v>22</v>
      </c>
      <c r="AI186" s="99" t="s">
        <v>4444</v>
      </c>
      <c r="AJ186" s="117">
        <v>-189619</v>
      </c>
      <c r="AK186" s="99">
        <v>15</v>
      </c>
      <c r="AL186" s="99">
        <f t="shared" si="32"/>
        <v>95</v>
      </c>
      <c r="AM186" s="99">
        <f t="shared" si="30"/>
        <v>-18013805</v>
      </c>
      <c r="AN186" s="99"/>
    </row>
    <row r="187" spans="16:44">
      <c r="Q187" s="99" t="s">
        <v>4499</v>
      </c>
      <c r="R187" s="95">
        <v>2000000</v>
      </c>
      <c r="T187" s="168" t="s">
        <v>4681</v>
      </c>
      <c r="U187" s="168">
        <v>12438</v>
      </c>
      <c r="V187" s="113">
        <v>241.20465999999999</v>
      </c>
      <c r="W187" s="113">
        <f t="shared" si="31"/>
        <v>3000103.5610799999</v>
      </c>
      <c r="X187" s="99" t="s">
        <v>4451</v>
      </c>
      <c r="Z187" t="s">
        <v>25</v>
      </c>
      <c r="AH187" s="196">
        <v>23</v>
      </c>
      <c r="AI187" s="196" t="s">
        <v>4519</v>
      </c>
      <c r="AJ187" s="189">
        <v>7100</v>
      </c>
      <c r="AK187" s="196">
        <v>0</v>
      </c>
      <c r="AL187" s="149">
        <f t="shared" si="32"/>
        <v>80</v>
      </c>
      <c r="AM187" s="196">
        <f t="shared" si="30"/>
        <v>568000</v>
      </c>
      <c r="AN187" s="196" t="s">
        <v>657</v>
      </c>
    </row>
    <row r="188" spans="16:44">
      <c r="Q188" s="99" t="s">
        <v>4509</v>
      </c>
      <c r="R188" s="95">
        <v>1000000</v>
      </c>
      <c r="T188" s="168" t="s">
        <v>4691</v>
      </c>
      <c r="U188" s="168">
        <v>27363</v>
      </c>
      <c r="V188" s="113">
        <v>239.3886</v>
      </c>
      <c r="W188" s="113">
        <f t="shared" si="31"/>
        <v>6550390.2617999995</v>
      </c>
      <c r="X188" s="99" t="s">
        <v>751</v>
      </c>
      <c r="AH188" s="20">
        <v>24</v>
      </c>
      <c r="AI188" s="20" t="s">
        <v>4519</v>
      </c>
      <c r="AJ188" s="117">
        <v>-147902</v>
      </c>
      <c r="AK188" s="20">
        <v>3</v>
      </c>
      <c r="AL188" s="99">
        <f t="shared" si="32"/>
        <v>80</v>
      </c>
      <c r="AM188" s="20">
        <f t="shared" si="30"/>
        <v>-11832160</v>
      </c>
      <c r="AN188" s="20"/>
    </row>
    <row r="189" spans="16:44">
      <c r="Q189" s="99" t="s">
        <v>4515</v>
      </c>
      <c r="R189" s="95">
        <v>2000000</v>
      </c>
      <c r="T189" s="168" t="s">
        <v>4691</v>
      </c>
      <c r="U189" s="168">
        <v>27363</v>
      </c>
      <c r="V189" s="113">
        <v>239.3886</v>
      </c>
      <c r="W189" s="113">
        <f t="shared" si="31"/>
        <v>6550390.2617999995</v>
      </c>
      <c r="X189" s="99" t="s">
        <v>452</v>
      </c>
      <c r="AH189" s="149">
        <v>25</v>
      </c>
      <c r="AI189" s="149" t="s">
        <v>4527</v>
      </c>
      <c r="AJ189" s="189">
        <v>-37200</v>
      </c>
      <c r="AK189" s="149">
        <v>4</v>
      </c>
      <c r="AL189" s="149">
        <f t="shared" si="32"/>
        <v>77</v>
      </c>
      <c r="AM189" s="196">
        <f t="shared" si="30"/>
        <v>-2864400</v>
      </c>
      <c r="AN189" s="149" t="s">
        <v>657</v>
      </c>
    </row>
    <row r="190" spans="16:44">
      <c r="Q190" s="99" t="s">
        <v>994</v>
      </c>
      <c r="R190" s="95">
        <v>3000000</v>
      </c>
      <c r="T190" s="214" t="s">
        <v>4695</v>
      </c>
      <c r="U190" s="214">
        <v>27437</v>
      </c>
      <c r="V190" s="113">
        <v>242.4015</v>
      </c>
      <c r="W190" s="113">
        <f t="shared" si="31"/>
        <v>6650769.9555000002</v>
      </c>
      <c r="X190" s="99" t="s">
        <v>751</v>
      </c>
      <c r="AH190" s="99">
        <v>26</v>
      </c>
      <c r="AI190" s="99" t="s">
        <v>4559</v>
      </c>
      <c r="AJ190" s="117">
        <v>-372326</v>
      </c>
      <c r="AK190" s="99">
        <v>21</v>
      </c>
      <c r="AL190" s="99">
        <f t="shared" si="32"/>
        <v>73</v>
      </c>
      <c r="AM190" s="20">
        <f t="shared" si="30"/>
        <v>-27179798</v>
      </c>
      <c r="AN190" s="99"/>
    </row>
    <row r="191" spans="16:44">
      <c r="Q191" s="99" t="s">
        <v>4681</v>
      </c>
      <c r="R191" s="95">
        <v>3000000</v>
      </c>
      <c r="T191" s="214" t="s">
        <v>4695</v>
      </c>
      <c r="U191" s="214">
        <v>29104</v>
      </c>
      <c r="V191" s="113">
        <v>242.4015</v>
      </c>
      <c r="W191" s="113">
        <f t="shared" si="31"/>
        <v>7054853.2560000001</v>
      </c>
      <c r="X191" s="99" t="s">
        <v>452</v>
      </c>
      <c r="Y191" t="s">
        <v>25</v>
      </c>
      <c r="AH191" s="99">
        <v>27</v>
      </c>
      <c r="AI191" s="99" t="s">
        <v>4618</v>
      </c>
      <c r="AJ191" s="117">
        <v>235062</v>
      </c>
      <c r="AK191" s="99">
        <v>0</v>
      </c>
      <c r="AL191" s="99">
        <f t="shared" si="32"/>
        <v>52</v>
      </c>
      <c r="AM191" s="20">
        <f t="shared" si="30"/>
        <v>12223224</v>
      </c>
      <c r="AN191" s="99"/>
    </row>
    <row r="192" spans="16:44">
      <c r="Q192" s="99"/>
      <c r="R192" s="95"/>
      <c r="T192" s="217" t="s">
        <v>4732</v>
      </c>
      <c r="U192" s="217">
        <v>8991</v>
      </c>
      <c r="V192" s="113">
        <v>238.64867000000001</v>
      </c>
      <c r="W192" s="113">
        <f t="shared" si="31"/>
        <v>2145690.19197</v>
      </c>
      <c r="X192" s="99" t="s">
        <v>751</v>
      </c>
      <c r="AH192" s="149">
        <v>28</v>
      </c>
      <c r="AI192" s="149" t="s">
        <v>4618</v>
      </c>
      <c r="AJ192" s="189">
        <v>235062</v>
      </c>
      <c r="AK192" s="149">
        <v>9</v>
      </c>
      <c r="AL192" s="99">
        <f t="shared" si="32"/>
        <v>52</v>
      </c>
      <c r="AM192" s="149">
        <f t="shared" si="30"/>
        <v>12223224</v>
      </c>
      <c r="AN192" s="149" t="s">
        <v>657</v>
      </c>
    </row>
    <row r="193" spans="17:44">
      <c r="Q193" s="99"/>
      <c r="R193" s="95"/>
      <c r="T193" s="217" t="s">
        <v>4732</v>
      </c>
      <c r="U193" s="217">
        <v>8991</v>
      </c>
      <c r="V193" s="113">
        <v>238.64867000000001</v>
      </c>
      <c r="W193" s="113">
        <f t="shared" si="31"/>
        <v>2145690.19197</v>
      </c>
      <c r="X193" s="99" t="s">
        <v>452</v>
      </c>
      <c r="AH193" s="149">
        <v>29</v>
      </c>
      <c r="AI193" s="149" t="s">
        <v>4648</v>
      </c>
      <c r="AJ193" s="189">
        <v>450000</v>
      </c>
      <c r="AK193" s="149">
        <v>0</v>
      </c>
      <c r="AL193" s="99">
        <f t="shared" si="32"/>
        <v>43</v>
      </c>
      <c r="AM193" s="149">
        <f t="shared" si="30"/>
        <v>19350000</v>
      </c>
      <c r="AN193" s="149" t="s">
        <v>657</v>
      </c>
    </row>
    <row r="194" spans="17:44">
      <c r="Q194" s="99"/>
      <c r="R194" s="95">
        <f>SUM(R186:R192)</f>
        <v>14000000</v>
      </c>
      <c r="T194" s="217" t="s">
        <v>4747</v>
      </c>
      <c r="U194" s="217">
        <v>18170</v>
      </c>
      <c r="V194" s="113">
        <v>240.48475999999999</v>
      </c>
      <c r="W194" s="113">
        <f t="shared" si="31"/>
        <v>4369608.0892000003</v>
      </c>
      <c r="X194" s="99" t="s">
        <v>751</v>
      </c>
      <c r="AH194" s="20">
        <v>30</v>
      </c>
      <c r="AI194" s="20" t="s">
        <v>4648</v>
      </c>
      <c r="AJ194" s="117">
        <v>450000</v>
      </c>
      <c r="AK194" s="20">
        <v>22</v>
      </c>
      <c r="AL194" s="99">
        <f>AK194+AL195</f>
        <v>43</v>
      </c>
      <c r="AM194" s="20">
        <f t="shared" si="30"/>
        <v>19350000</v>
      </c>
      <c r="AN194" s="20"/>
    </row>
    <row r="195" spans="17:44">
      <c r="Q195" s="99"/>
      <c r="R195" s="99" t="s">
        <v>6</v>
      </c>
      <c r="S195" t="s">
        <v>25</v>
      </c>
      <c r="T195" s="217" t="s">
        <v>4747</v>
      </c>
      <c r="U195" s="217">
        <v>18170</v>
      </c>
      <c r="V195" s="113">
        <v>240.48475999999999</v>
      </c>
      <c r="W195" s="113">
        <f t="shared" si="31"/>
        <v>4369608.0892000003</v>
      </c>
      <c r="X195" s="99" t="s">
        <v>452</v>
      </c>
      <c r="AH195" s="149">
        <v>31</v>
      </c>
      <c r="AI195" s="149" t="s">
        <v>4752</v>
      </c>
      <c r="AJ195" s="189">
        <v>300000</v>
      </c>
      <c r="AK195" s="149">
        <v>0</v>
      </c>
      <c r="AL195" s="149">
        <f t="shared" ref="AL195:AL197" si="33">AK195+AL196</f>
        <v>21</v>
      </c>
      <c r="AM195" s="149">
        <f t="shared" ref="AM195:AM198" si="34">AJ195*AL195</f>
        <v>6300000</v>
      </c>
      <c r="AN195" s="149"/>
    </row>
    <row r="196" spans="17:44" ht="30">
      <c r="T196" s="217" t="s">
        <v>4752</v>
      </c>
      <c r="U196" s="217">
        <v>36797</v>
      </c>
      <c r="V196" s="113">
        <v>239.0822</v>
      </c>
      <c r="W196" s="113">
        <f t="shared" si="31"/>
        <v>8797507.7134000007</v>
      </c>
      <c r="X196" s="99" t="s">
        <v>751</v>
      </c>
      <c r="AH196" s="121">
        <v>32</v>
      </c>
      <c r="AI196" s="121" t="s">
        <v>4752</v>
      </c>
      <c r="AJ196" s="79">
        <v>288936</v>
      </c>
      <c r="AK196" s="121">
        <v>3</v>
      </c>
      <c r="AL196" s="121">
        <f t="shared" si="33"/>
        <v>21</v>
      </c>
      <c r="AM196" s="121">
        <f t="shared" si="34"/>
        <v>6067656</v>
      </c>
      <c r="AN196" s="209" t="s">
        <v>4765</v>
      </c>
    </row>
    <row r="197" spans="17:44">
      <c r="Q197" s="96"/>
      <c r="R197" s="96"/>
      <c r="T197" s="217" t="s">
        <v>4752</v>
      </c>
      <c r="U197" s="217">
        <v>36797</v>
      </c>
      <c r="V197" s="113">
        <v>239.0822</v>
      </c>
      <c r="W197" s="113">
        <f t="shared" si="31"/>
        <v>8797507.7134000007</v>
      </c>
      <c r="X197" s="99" t="s">
        <v>452</v>
      </c>
      <c r="AH197" s="121">
        <v>33</v>
      </c>
      <c r="AI197" s="121" t="s">
        <v>4763</v>
      </c>
      <c r="AJ197" s="79">
        <v>17962491</v>
      </c>
      <c r="AK197" s="121">
        <v>1</v>
      </c>
      <c r="AL197" s="121">
        <f t="shared" si="33"/>
        <v>18</v>
      </c>
      <c r="AM197" s="121">
        <f t="shared" si="34"/>
        <v>323324838</v>
      </c>
      <c r="AN197" s="121" t="s">
        <v>4770</v>
      </c>
    </row>
    <row r="198" spans="17:44">
      <c r="Q198" s="96"/>
      <c r="R198" s="96"/>
      <c r="T198" s="217" t="s">
        <v>4763</v>
      </c>
      <c r="U198" s="217">
        <v>28066</v>
      </c>
      <c r="V198" s="113">
        <v>237.56970000000001</v>
      </c>
      <c r="W198" s="113">
        <f t="shared" si="31"/>
        <v>6667631.2002000008</v>
      </c>
      <c r="X198" s="99" t="s">
        <v>751</v>
      </c>
      <c r="AH198" s="121">
        <v>34</v>
      </c>
      <c r="AI198" s="121" t="s">
        <v>3684</v>
      </c>
      <c r="AJ198" s="79">
        <v>18363511</v>
      </c>
      <c r="AK198" s="121">
        <v>1</v>
      </c>
      <c r="AL198" s="121">
        <f>AK198+AL201</f>
        <v>17</v>
      </c>
      <c r="AM198" s="121">
        <f t="shared" si="34"/>
        <v>312179687</v>
      </c>
      <c r="AN198" s="121" t="s">
        <v>4770</v>
      </c>
    </row>
    <row r="199" spans="17:44">
      <c r="T199" s="217" t="s">
        <v>4763</v>
      </c>
      <c r="U199" s="217">
        <v>28066</v>
      </c>
      <c r="V199" s="113">
        <v>237.56970000000001</v>
      </c>
      <c r="W199" s="113">
        <f t="shared" si="31"/>
        <v>6667631.2002000008</v>
      </c>
      <c r="X199" s="99" t="s">
        <v>452</v>
      </c>
      <c r="AH199" s="121">
        <v>35</v>
      </c>
      <c r="AI199" s="121" t="s">
        <v>4776</v>
      </c>
      <c r="AJ199" s="79">
        <v>23622417</v>
      </c>
      <c r="AK199" s="121">
        <v>5</v>
      </c>
      <c r="AL199" s="121">
        <f t="shared" ref="AL199:AL207" si="35">AK199+AL202</f>
        <v>5</v>
      </c>
      <c r="AM199" s="121">
        <f t="shared" ref="AM199:AM207" si="36">AJ199*AL199</f>
        <v>118112085</v>
      </c>
      <c r="AN199" s="121" t="s">
        <v>4785</v>
      </c>
      <c r="AQ199" t="s">
        <v>25</v>
      </c>
    </row>
    <row r="200" spans="17:44">
      <c r="Q200" s="99" t="s">
        <v>751</v>
      </c>
      <c r="R200" s="99"/>
      <c r="T200" s="217" t="s">
        <v>3684</v>
      </c>
      <c r="U200" s="217">
        <v>37457</v>
      </c>
      <c r="V200" s="113">
        <v>239.77</v>
      </c>
      <c r="W200" s="113">
        <f t="shared" si="31"/>
        <v>8981064.8900000006</v>
      </c>
      <c r="X200" s="99" t="s">
        <v>751</v>
      </c>
      <c r="AH200" s="121">
        <v>36</v>
      </c>
      <c r="AI200" s="121" t="s">
        <v>4802</v>
      </c>
      <c r="AJ200" s="79">
        <v>82496108</v>
      </c>
      <c r="AK200" s="121">
        <v>1</v>
      </c>
      <c r="AL200" s="121">
        <f t="shared" si="35"/>
        <v>5</v>
      </c>
      <c r="AM200" s="121">
        <f t="shared" si="36"/>
        <v>412480540</v>
      </c>
      <c r="AN200" s="121" t="s">
        <v>4805</v>
      </c>
    </row>
    <row r="201" spans="17:44">
      <c r="Q201" s="99" t="s">
        <v>4444</v>
      </c>
      <c r="R201" s="95">
        <v>172908000</v>
      </c>
      <c r="T201" s="217" t="s">
        <v>3684</v>
      </c>
      <c r="U201" s="217">
        <v>37457</v>
      </c>
      <c r="V201" s="113">
        <v>239.77</v>
      </c>
      <c r="W201" s="113">
        <f t="shared" si="31"/>
        <v>8981064.8900000006</v>
      </c>
      <c r="X201" s="99" t="s">
        <v>452</v>
      </c>
      <c r="AH201" s="121">
        <v>37</v>
      </c>
      <c r="AI201" s="121" t="s">
        <v>4804</v>
      </c>
      <c r="AJ201" s="79">
        <v>74657561</v>
      </c>
      <c r="AK201" s="121">
        <v>16</v>
      </c>
      <c r="AL201" s="121">
        <f>AK201+AL206</f>
        <v>16</v>
      </c>
      <c r="AM201" s="121">
        <f t="shared" si="36"/>
        <v>1194520976</v>
      </c>
      <c r="AN201" s="121" t="s">
        <v>4813</v>
      </c>
    </row>
    <row r="202" spans="17:44">
      <c r="Q202" s="99" t="s">
        <v>4485</v>
      </c>
      <c r="R202" s="95">
        <v>1400000</v>
      </c>
      <c r="T202" s="217" t="s">
        <v>4776</v>
      </c>
      <c r="U202" s="217">
        <v>38412</v>
      </c>
      <c r="V202" s="113">
        <v>239.03</v>
      </c>
      <c r="W202" s="113">
        <f t="shared" si="31"/>
        <v>9181620.3599999994</v>
      </c>
      <c r="X202" s="99" t="s">
        <v>751</v>
      </c>
      <c r="AH202" s="99">
        <v>38</v>
      </c>
      <c r="AI202" s="99" t="s">
        <v>4905</v>
      </c>
      <c r="AJ202" s="117">
        <v>665000</v>
      </c>
      <c r="AK202" s="99">
        <v>0</v>
      </c>
      <c r="AL202" s="99">
        <f>AK202+AL207</f>
        <v>0</v>
      </c>
      <c r="AM202" s="20">
        <f t="shared" si="36"/>
        <v>0</v>
      </c>
      <c r="AN202" s="99"/>
      <c r="AR202" t="s">
        <v>25</v>
      </c>
    </row>
    <row r="203" spans="17:44">
      <c r="Q203" s="99" t="s">
        <v>4232</v>
      </c>
      <c r="R203" s="95">
        <v>247393</v>
      </c>
      <c r="T203" s="217" t="s">
        <v>4776</v>
      </c>
      <c r="U203" s="217">
        <v>38412</v>
      </c>
      <c r="V203" s="113">
        <v>239.03</v>
      </c>
      <c r="W203" s="113">
        <f t="shared" si="31"/>
        <v>9181620.3599999994</v>
      </c>
      <c r="X203" s="99" t="s">
        <v>452</v>
      </c>
      <c r="AH203" s="149">
        <v>39</v>
      </c>
      <c r="AI203" s="149" t="s">
        <v>4905</v>
      </c>
      <c r="AJ203" s="189">
        <v>665000</v>
      </c>
      <c r="AK203" s="149">
        <v>4</v>
      </c>
      <c r="AL203" s="149">
        <f>AK203+AL208</f>
        <v>4</v>
      </c>
      <c r="AM203" s="149">
        <f t="shared" si="36"/>
        <v>2660000</v>
      </c>
      <c r="AN203" s="149"/>
    </row>
    <row r="204" spans="17:44">
      <c r="Q204" s="99" t="s">
        <v>4231</v>
      </c>
      <c r="R204" s="95">
        <v>6780000</v>
      </c>
      <c r="T204" s="217" t="s">
        <v>4786</v>
      </c>
      <c r="U204" s="217">
        <v>49555</v>
      </c>
      <c r="V204" s="113">
        <v>238.345</v>
      </c>
      <c r="W204" s="113">
        <f t="shared" si="31"/>
        <v>11811186.475</v>
      </c>
      <c r="X204" s="99" t="s">
        <v>751</v>
      </c>
      <c r="AH204" s="20">
        <v>40</v>
      </c>
      <c r="AI204" s="20" t="s">
        <v>4937</v>
      </c>
      <c r="AJ204" s="117">
        <v>2000000</v>
      </c>
      <c r="AK204" s="20">
        <v>1</v>
      </c>
      <c r="AL204" s="20"/>
      <c r="AM204" s="20"/>
      <c r="AN204" s="20"/>
    </row>
    <row r="205" spans="17:44">
      <c r="Q205" s="99" t="s">
        <v>4602</v>
      </c>
      <c r="R205" s="95">
        <v>-4000000</v>
      </c>
      <c r="T205" s="217" t="s">
        <v>4786</v>
      </c>
      <c r="U205" s="217">
        <v>49555</v>
      </c>
      <c r="V205" s="113">
        <v>238.345</v>
      </c>
      <c r="W205" s="113">
        <f t="shared" si="31"/>
        <v>11811186.475</v>
      </c>
      <c r="X205" s="99" t="s">
        <v>452</v>
      </c>
      <c r="AH205" s="20"/>
      <c r="AI205" s="20"/>
      <c r="AJ205" s="117"/>
      <c r="AK205" s="20"/>
      <c r="AL205" s="20"/>
      <c r="AM205" s="20"/>
      <c r="AN205" s="20"/>
    </row>
    <row r="206" spans="17:44">
      <c r="Q206" s="99" t="s">
        <v>4638</v>
      </c>
      <c r="R206" s="95">
        <v>16727037</v>
      </c>
      <c r="T206" s="217" t="s">
        <v>4804</v>
      </c>
      <c r="U206" s="217">
        <v>160187</v>
      </c>
      <c r="V206" s="113">
        <v>257.49799999999999</v>
      </c>
      <c r="W206" s="113">
        <f t="shared" si="31"/>
        <v>41247832.126000002</v>
      </c>
      <c r="X206" s="99" t="s">
        <v>751</v>
      </c>
      <c r="AH206" s="99"/>
      <c r="AI206" s="99"/>
      <c r="AJ206" s="117"/>
      <c r="AK206" s="99"/>
      <c r="AL206" s="99">
        <f t="shared" si="35"/>
        <v>0</v>
      </c>
      <c r="AM206" s="20">
        <f t="shared" si="36"/>
        <v>0</v>
      </c>
      <c r="AN206" s="99"/>
    </row>
    <row r="207" spans="17:44">
      <c r="Q207" s="99" t="s">
        <v>4645</v>
      </c>
      <c r="R207" s="95">
        <v>46460683</v>
      </c>
      <c r="T207" s="217" t="s">
        <v>4804</v>
      </c>
      <c r="U207" s="217">
        <v>160187</v>
      </c>
      <c r="V207" s="113">
        <v>257.49799999999999</v>
      </c>
      <c r="W207" s="113">
        <f t="shared" si="31"/>
        <v>41247832.126000002</v>
      </c>
      <c r="X207" s="99" t="s">
        <v>452</v>
      </c>
      <c r="AH207" s="99"/>
      <c r="AI207" s="99"/>
      <c r="AJ207" s="117"/>
      <c r="AK207" s="99"/>
      <c r="AL207" s="99">
        <f t="shared" si="35"/>
        <v>0</v>
      </c>
      <c r="AM207" s="99">
        <f t="shared" si="36"/>
        <v>0</v>
      </c>
      <c r="AN207" s="99"/>
    </row>
    <row r="208" spans="17:44">
      <c r="Q208" s="99" t="s">
        <v>4648</v>
      </c>
      <c r="R208" s="95">
        <v>19663646</v>
      </c>
      <c r="S208" t="s">
        <v>25</v>
      </c>
      <c r="T208" s="217" t="s">
        <v>4814</v>
      </c>
      <c r="U208" s="217">
        <v>144401</v>
      </c>
      <c r="V208" s="113">
        <v>258.5061</v>
      </c>
      <c r="W208" s="113">
        <f t="shared" si="31"/>
        <v>37328539.346100003</v>
      </c>
      <c r="X208" s="99" t="s">
        <v>751</v>
      </c>
      <c r="AH208" s="99"/>
      <c r="AI208" s="99"/>
      <c r="AJ208" s="95">
        <f>SUM(AJ165:AJ207)</f>
        <v>249911198</v>
      </c>
      <c r="AK208" s="99"/>
      <c r="AL208" s="99"/>
      <c r="AM208" s="99">
        <f>SUM(AM165:AM207)</f>
        <v>6836988154</v>
      </c>
      <c r="AN208" s="95">
        <f>AM208*AN151/31</f>
        <v>3675873.5987973548</v>
      </c>
    </row>
    <row r="209" spans="17:44">
      <c r="Q209" s="99" t="s">
        <v>4675</v>
      </c>
      <c r="R209" s="95">
        <v>4374525</v>
      </c>
      <c r="T209" s="217" t="s">
        <v>4814</v>
      </c>
      <c r="U209" s="217">
        <v>144401</v>
      </c>
      <c r="V209" s="113">
        <v>258.5061</v>
      </c>
      <c r="W209" s="113">
        <f t="shared" si="31"/>
        <v>37328539.346100003</v>
      </c>
      <c r="X209" s="99" t="s">
        <v>452</v>
      </c>
      <c r="AJ209" t="s">
        <v>4059</v>
      </c>
      <c r="AM209" t="s">
        <v>284</v>
      </c>
      <c r="AN209" t="s">
        <v>943</v>
      </c>
    </row>
    <row r="210" spans="17:44">
      <c r="Q210" s="99" t="s">
        <v>4691</v>
      </c>
      <c r="R210" s="95">
        <v>6550580</v>
      </c>
      <c r="T210" s="168" t="s">
        <v>4824</v>
      </c>
      <c r="U210" s="168">
        <v>196500</v>
      </c>
      <c r="V210" s="113">
        <v>254.452</v>
      </c>
      <c r="W210" s="113">
        <f t="shared" si="31"/>
        <v>49999818</v>
      </c>
      <c r="X210" s="99" t="s">
        <v>4832</v>
      </c>
      <c r="Z210" t="s">
        <v>25</v>
      </c>
    </row>
    <row r="211" spans="17:44">
      <c r="Q211" s="99" t="s">
        <v>4695</v>
      </c>
      <c r="R211" s="95">
        <v>6650895</v>
      </c>
      <c r="T211" s="217" t="s">
        <v>4824</v>
      </c>
      <c r="U211" s="217">
        <v>2561</v>
      </c>
      <c r="V211" s="113">
        <v>254.536</v>
      </c>
      <c r="W211" s="113">
        <f t="shared" si="31"/>
        <v>651866.696</v>
      </c>
      <c r="X211" s="99" t="s">
        <v>4833</v>
      </c>
      <c r="AI211" t="s">
        <v>4061</v>
      </c>
      <c r="AJ211" s="114">
        <f>AJ208+AN208</f>
        <v>253587071.59879735</v>
      </c>
      <c r="AR211" t="s">
        <v>25</v>
      </c>
    </row>
    <row r="212" spans="17:44">
      <c r="Q212" s="99" t="s">
        <v>4732</v>
      </c>
      <c r="R212" s="95">
        <v>2145814</v>
      </c>
      <c r="S212" t="s">
        <v>25</v>
      </c>
      <c r="T212" s="217" t="s">
        <v>4885</v>
      </c>
      <c r="U212" s="217">
        <v>-11795</v>
      </c>
      <c r="V212" s="113">
        <v>254.334</v>
      </c>
      <c r="W212" s="113">
        <f t="shared" si="31"/>
        <v>-2999869.5300000003</v>
      </c>
      <c r="X212" s="99" t="s">
        <v>4887</v>
      </c>
      <c r="AI212" t="s">
        <v>4064</v>
      </c>
      <c r="AJ212" s="114">
        <f>SUM(N20:N36)</f>
        <v>265317242.40000004</v>
      </c>
      <c r="AQ212" t="s">
        <v>25</v>
      </c>
    </row>
    <row r="213" spans="17:44">
      <c r="Q213" s="99" t="s">
        <v>4747</v>
      </c>
      <c r="R213" s="95">
        <v>4369730</v>
      </c>
      <c r="T213" s="217" t="s">
        <v>4885</v>
      </c>
      <c r="U213" s="217">
        <v>11795</v>
      </c>
      <c r="V213" s="113">
        <v>254.334</v>
      </c>
      <c r="W213" s="113">
        <f t="shared" si="31"/>
        <v>2999869.5300000003</v>
      </c>
      <c r="X213" s="99" t="s">
        <v>4888</v>
      </c>
      <c r="AI213" t="s">
        <v>4136</v>
      </c>
      <c r="AJ213" s="114">
        <f>AJ212-AJ208</f>
        <v>15406044.400000036</v>
      </c>
    </row>
    <row r="214" spans="17:44">
      <c r="Q214" s="99" t="s">
        <v>4752</v>
      </c>
      <c r="R214" s="95">
        <v>8739459</v>
      </c>
      <c r="T214" s="217" t="s">
        <v>4905</v>
      </c>
      <c r="U214" s="217">
        <v>260</v>
      </c>
      <c r="V214" s="113">
        <v>263.19</v>
      </c>
      <c r="W214" s="113">
        <f t="shared" si="31"/>
        <v>68429.399999999994</v>
      </c>
      <c r="X214" s="99" t="s">
        <v>452</v>
      </c>
      <c r="AI214" t="s">
        <v>943</v>
      </c>
      <c r="AJ214" s="114">
        <f>AN208</f>
        <v>3675873.5987973548</v>
      </c>
    </row>
    <row r="215" spans="17:44">
      <c r="Q215" s="99" t="s">
        <v>4763</v>
      </c>
      <c r="R215" s="95">
        <v>6667654</v>
      </c>
      <c r="T215" s="217" t="s">
        <v>4937</v>
      </c>
      <c r="U215" s="217">
        <v>15257</v>
      </c>
      <c r="V215" s="113">
        <v>262.19018</v>
      </c>
      <c r="W215" s="113">
        <f t="shared" si="31"/>
        <v>4000235.57626</v>
      </c>
      <c r="X215" s="99" t="s">
        <v>452</v>
      </c>
      <c r="AI215" t="s">
        <v>4065</v>
      </c>
      <c r="AJ215" s="114">
        <f>AJ213-AJ214</f>
        <v>11730170.801202681</v>
      </c>
      <c r="AN215" t="s">
        <v>25</v>
      </c>
    </row>
    <row r="216" spans="17:44">
      <c r="Q216" s="99" t="s">
        <v>4771</v>
      </c>
      <c r="R216" s="95">
        <v>8981245</v>
      </c>
      <c r="T216" s="217"/>
      <c r="U216" s="217"/>
      <c r="V216" s="113"/>
      <c r="W216" s="113"/>
      <c r="X216" s="99"/>
      <c r="AN216" t="s">
        <v>25</v>
      </c>
    </row>
    <row r="217" spans="17:44">
      <c r="Q217" s="99" t="s">
        <v>4776</v>
      </c>
      <c r="R217" s="95">
        <v>9181756</v>
      </c>
      <c r="T217" s="217"/>
      <c r="U217" s="217"/>
      <c r="V217" s="113"/>
      <c r="W217" s="113"/>
      <c r="X217" s="99"/>
    </row>
    <row r="218" spans="17:44">
      <c r="Q218" s="99" t="s">
        <v>4786</v>
      </c>
      <c r="R218" s="95">
        <v>11811208</v>
      </c>
      <c r="T218" s="217" t="s">
        <v>25</v>
      </c>
      <c r="U218" s="217"/>
      <c r="V218" s="113"/>
      <c r="W218" s="113"/>
      <c r="X218" s="99"/>
    </row>
    <row r="219" spans="17:44">
      <c r="Q219" s="99" t="s">
        <v>4804</v>
      </c>
      <c r="R219" s="95">
        <v>41248054</v>
      </c>
      <c r="S219" t="s">
        <v>25</v>
      </c>
      <c r="T219" s="168"/>
      <c r="U219" s="168"/>
      <c r="V219" s="113"/>
      <c r="W219" s="113"/>
      <c r="X219" s="99"/>
    </row>
    <row r="220" spans="17:44">
      <c r="Q220" s="99" t="s">
        <v>4814</v>
      </c>
      <c r="R220" s="95">
        <v>37328780</v>
      </c>
      <c r="T220" s="168"/>
      <c r="U220" s="168">
        <f>SUM(U168:U219)</f>
        <v>3222513</v>
      </c>
      <c r="V220" s="99"/>
      <c r="W220" s="99"/>
      <c r="X220" s="99"/>
      <c r="Y220" t="s">
        <v>25</v>
      </c>
    </row>
    <row r="221" spans="17:44">
      <c r="Q221" s="99"/>
      <c r="R221" s="95"/>
      <c r="T221" s="99"/>
      <c r="U221" s="99" t="s">
        <v>6</v>
      </c>
      <c r="V221" s="99"/>
      <c r="W221" s="99"/>
      <c r="X221" s="99"/>
    </row>
    <row r="222" spans="17:44">
      <c r="Q222" s="99"/>
      <c r="R222" s="95">
        <f>SUM(R201:R221)</f>
        <v>408236459</v>
      </c>
      <c r="T222" s="201" t="s">
        <v>4488</v>
      </c>
      <c r="Y222" s="96">
        <f>W228/15</f>
        <v>4977170.7333333334</v>
      </c>
    </row>
    <row r="223" spans="17:44">
      <c r="Q223" s="99"/>
      <c r="R223" s="99" t="s">
        <v>6</v>
      </c>
      <c r="T223" s="200">
        <f>R178/U220</f>
        <v>266.43031301968375</v>
      </c>
    </row>
    <row r="224" spans="17:44">
      <c r="S224" t="s">
        <v>25</v>
      </c>
      <c r="W224" s="114"/>
    </row>
    <row r="225" spans="17:24">
      <c r="U225" s="96" t="s">
        <v>267</v>
      </c>
      <c r="V225" t="s">
        <v>4489</v>
      </c>
      <c r="X225" t="s">
        <v>25</v>
      </c>
    </row>
    <row r="226" spans="17:24">
      <c r="Q226" s="99" t="s">
        <v>452</v>
      </c>
      <c r="R226" s="99"/>
      <c r="T226" s="114"/>
      <c r="U226" s="113">
        <v>4000483</v>
      </c>
      <c r="V226">
        <f>U226/T223</f>
        <v>15015.119543489956</v>
      </c>
      <c r="X226" t="s">
        <v>25</v>
      </c>
    </row>
    <row r="227" spans="17:24">
      <c r="Q227" s="99" t="s">
        <v>4444</v>
      </c>
      <c r="R227" s="95">
        <v>63115000</v>
      </c>
      <c r="X227" t="s">
        <v>25</v>
      </c>
    </row>
    <row r="228" spans="17:24">
      <c r="Q228" s="99" t="s">
        <v>4499</v>
      </c>
      <c r="R228" s="95">
        <v>13300000</v>
      </c>
      <c r="W228" s="227">
        <v>74657561</v>
      </c>
      <c r="X228" s="96">
        <f>W228/2</f>
        <v>37328780.5</v>
      </c>
    </row>
    <row r="229" spans="17:24">
      <c r="Q229" s="99" t="s">
        <v>4509</v>
      </c>
      <c r="R229" s="95">
        <v>2269000</v>
      </c>
    </row>
    <row r="230" spans="17:24">
      <c r="Q230" s="99" t="s">
        <v>4633</v>
      </c>
      <c r="R230" s="95">
        <v>25071612</v>
      </c>
    </row>
    <row r="231" spans="17:24" ht="60">
      <c r="Q231" s="99" t="s">
        <v>4645</v>
      </c>
      <c r="R231" s="95">
        <v>42236984</v>
      </c>
      <c r="T231" s="22" t="s">
        <v>4472</v>
      </c>
      <c r="X231" t="s">
        <v>25</v>
      </c>
    </row>
    <row r="232" spans="17:24" ht="45">
      <c r="Q232" s="99" t="s">
        <v>4648</v>
      </c>
      <c r="R232" s="95">
        <v>19663646</v>
      </c>
      <c r="T232" s="22" t="s">
        <v>4473</v>
      </c>
    </row>
    <row r="233" spans="17:24">
      <c r="Q233" s="99" t="s">
        <v>4675</v>
      </c>
      <c r="R233" s="95">
        <v>4374525</v>
      </c>
    </row>
    <row r="234" spans="17:24">
      <c r="Q234" s="99" t="s">
        <v>4691</v>
      </c>
      <c r="R234" s="95">
        <v>6550580</v>
      </c>
    </row>
    <row r="235" spans="17:24">
      <c r="Q235" s="99" t="s">
        <v>4695</v>
      </c>
      <c r="R235" s="95">
        <v>7054895</v>
      </c>
      <c r="T235" s="99" t="s">
        <v>4490</v>
      </c>
      <c r="U235" s="99" t="s">
        <v>4461</v>
      </c>
      <c r="V235" s="99" t="s">
        <v>953</v>
      </c>
    </row>
    <row r="236" spans="17:24">
      <c r="Q236" s="99" t="s">
        <v>4732</v>
      </c>
      <c r="R236" s="95">
        <v>2145814</v>
      </c>
      <c r="T236" s="95">
        <f>R194+R222+R250</f>
        <v>786415057</v>
      </c>
      <c r="U236" s="95">
        <f>R178</f>
        <v>858575147.30000007</v>
      </c>
      <c r="V236" s="95">
        <f>U236-T236</f>
        <v>72160090.300000072</v>
      </c>
    </row>
    <row r="237" spans="17:24">
      <c r="Q237" s="99" t="s">
        <v>4747</v>
      </c>
      <c r="R237" s="95">
        <v>4369730</v>
      </c>
    </row>
    <row r="238" spans="17:24">
      <c r="Q238" s="99" t="s">
        <v>4752</v>
      </c>
      <c r="R238" s="95">
        <v>8739459</v>
      </c>
    </row>
    <row r="239" spans="17:24">
      <c r="Q239" s="99" t="s">
        <v>4763</v>
      </c>
      <c r="R239" s="95">
        <v>6667654</v>
      </c>
    </row>
    <row r="240" spans="17:24">
      <c r="Q240" s="99" t="s">
        <v>3684</v>
      </c>
      <c r="R240" s="95">
        <v>8981245</v>
      </c>
    </row>
    <row r="241" spans="17:20">
      <c r="Q241" s="99" t="s">
        <v>4776</v>
      </c>
      <c r="R241" s="95">
        <v>9181756</v>
      </c>
      <c r="T241" t="s">
        <v>25</v>
      </c>
    </row>
    <row r="242" spans="17:20">
      <c r="Q242" s="99" t="s">
        <v>4786</v>
      </c>
      <c r="R242" s="95">
        <v>11811208</v>
      </c>
      <c r="T242" t="s">
        <v>25</v>
      </c>
    </row>
    <row r="243" spans="17:20">
      <c r="Q243" s="99" t="s">
        <v>4804</v>
      </c>
      <c r="R243" s="95">
        <v>41248054</v>
      </c>
    </row>
    <row r="244" spans="17:20">
      <c r="Q244" s="99" t="s">
        <v>4814</v>
      </c>
      <c r="R244" s="95">
        <v>37328780</v>
      </c>
      <c r="T244" t="s">
        <v>25</v>
      </c>
    </row>
    <row r="245" spans="17:20">
      <c r="Q245" s="99" t="s">
        <v>4824</v>
      </c>
      <c r="R245" s="95">
        <v>50000000</v>
      </c>
    </row>
    <row r="246" spans="17:20">
      <c r="Q246" s="99" t="s">
        <v>4905</v>
      </c>
      <c r="R246" s="95">
        <v>68656</v>
      </c>
    </row>
    <row r="247" spans="17:20">
      <c r="Q247" s="99"/>
      <c r="R247" s="95"/>
    </row>
    <row r="248" spans="17:20">
      <c r="Q248" s="99"/>
      <c r="R248" s="95"/>
      <c r="T248" t="s">
        <v>25</v>
      </c>
    </row>
    <row r="249" spans="17:20">
      <c r="Q249" s="99"/>
      <c r="R249" s="95"/>
      <c r="T249" t="s">
        <v>25</v>
      </c>
    </row>
    <row r="250" spans="17:20">
      <c r="Q250" s="99"/>
      <c r="R250" s="95">
        <f>SUM(R227:R249)</f>
        <v>364178598</v>
      </c>
    </row>
    <row r="251" spans="17:20">
      <c r="Q251" s="99"/>
      <c r="R251" s="99" t="s">
        <v>6</v>
      </c>
      <c r="T251" t="s">
        <v>25</v>
      </c>
    </row>
    <row r="252" spans="17:20">
      <c r="T252" t="s">
        <v>25</v>
      </c>
    </row>
    <row r="256" spans="17:20">
      <c r="T256" t="s">
        <v>25</v>
      </c>
    </row>
  </sheetData>
  <conditionalFormatting sqref="G3:G6">
    <cfRule type="cellIs" dxfId="13" priority="14" operator="greaterThan">
      <formula>0</formula>
    </cfRule>
  </conditionalFormatting>
  <conditionalFormatting sqref="G2:G62">
    <cfRule type="cellIs" dxfId="12" priority="13" operator="greaterThan">
      <formula>0</formula>
    </cfRule>
  </conditionalFormatting>
  <conditionalFormatting sqref="G67:G81 G1:G65 G136:G1048576 I128:I135 G126:G127 G96:G117">
    <cfRule type="cellIs" dxfId="11" priority="12" operator="lessThan">
      <formula>0</formula>
    </cfRule>
  </conditionalFormatting>
  <conditionalFormatting sqref="G118">
    <cfRule type="cellIs" dxfId="10" priority="11" operator="lessThan">
      <formula>0</formula>
    </cfRule>
  </conditionalFormatting>
  <conditionalFormatting sqref="G121">
    <cfRule type="cellIs" dxfId="9" priority="3" operator="lessThan">
      <formula>0</formula>
    </cfRule>
  </conditionalFormatting>
  <conditionalFormatting sqref="G119">
    <cfRule type="cellIs" dxfId="8" priority="6" operator="lessThan">
      <formula>0</formula>
    </cfRule>
  </conditionalFormatting>
  <conditionalFormatting sqref="G122 G124">
    <cfRule type="cellIs" dxfId="7" priority="4" operator="lessThan">
      <formula>0</formula>
    </cfRule>
  </conditionalFormatting>
  <conditionalFormatting sqref="G125">
    <cfRule type="cellIs" dxfId="6" priority="1" operator="lessThan">
      <formula>0</formula>
    </cfRule>
  </conditionalFormatting>
  <conditionalFormatting sqref="G120">
    <cfRule type="cellIs" dxfId="5" priority="5" operator="lessThan">
      <formula>0</formula>
    </cfRule>
  </conditionalFormatting>
  <conditionalFormatting sqref="G123">
    <cfRule type="cellIs" dxfId="4" priority="2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S25 U155 S93 S99 S102:S104 S107 S113:S114 S109 S124 S37:S38 S138 S136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8"/>
  <sheetViews>
    <sheetView tabSelected="1" topLeftCell="C64" workbookViewId="0">
      <selection activeCell="L84" sqref="L84"/>
    </sheetView>
  </sheetViews>
  <sheetFormatPr defaultRowHeight="15"/>
  <cols>
    <col min="1" max="1" width="22.140625" bestFit="1" customWidth="1"/>
    <col min="2" max="2" width="20.28515625" bestFit="1" customWidth="1"/>
    <col min="3" max="3" width="14.140625" bestFit="1" customWidth="1"/>
    <col min="4" max="4" width="16.7109375" bestFit="1" customWidth="1"/>
    <col min="5" max="5" width="11.42578125" bestFit="1" customWidth="1"/>
    <col min="6" max="6" width="14.85546875" bestFit="1" customWidth="1"/>
    <col min="7" max="7" width="19.85546875" bestFit="1" customWidth="1"/>
    <col min="9" max="9" width="20.42578125" bestFit="1" customWidth="1"/>
    <col min="10" max="10" width="16.85546875" bestFit="1" customWidth="1"/>
    <col min="11" max="11" width="19.85546875" bestFit="1" customWidth="1"/>
    <col min="12" max="12" width="17.85546875" bestFit="1" customWidth="1"/>
    <col min="13" max="13" width="19.42578125" customWidth="1"/>
    <col min="14" max="15" width="19.85546875" bestFit="1" customWidth="1"/>
    <col min="16" max="16" width="16.85546875" bestFit="1" customWidth="1"/>
    <col min="23" max="23" width="15.140625" bestFit="1" customWidth="1"/>
    <col min="24" max="25" width="16.140625" bestFit="1" customWidth="1"/>
    <col min="26" max="26" width="21.7109375" bestFit="1" customWidth="1"/>
    <col min="27" max="27" width="9.7109375" bestFit="1" customWidth="1"/>
    <col min="28" max="28" width="10.42578125" bestFit="1" customWidth="1"/>
    <col min="30" max="31" width="12" bestFit="1" customWidth="1"/>
    <col min="32" max="32" width="20.42578125" bestFit="1" customWidth="1"/>
  </cols>
  <sheetData>
    <row r="1" spans="1:32">
      <c r="A1" s="99"/>
      <c r="B1" s="203" t="s">
        <v>4435</v>
      </c>
      <c r="C1" s="168" t="s">
        <v>4300</v>
      </c>
      <c r="D1" s="168" t="s">
        <v>180</v>
      </c>
      <c r="J1" s="168" t="s">
        <v>3641</v>
      </c>
      <c r="K1" s="168" t="s">
        <v>180</v>
      </c>
      <c r="L1" s="168" t="s">
        <v>4487</v>
      </c>
      <c r="M1" s="168" t="s">
        <v>937</v>
      </c>
      <c r="N1" s="56" t="s">
        <v>940</v>
      </c>
      <c r="O1" s="99" t="s">
        <v>8</v>
      </c>
      <c r="W1" s="168" t="s">
        <v>180</v>
      </c>
      <c r="X1" s="168" t="s">
        <v>4545</v>
      </c>
      <c r="Y1" s="168" t="s">
        <v>950</v>
      </c>
      <c r="Z1" s="168" t="s">
        <v>937</v>
      </c>
      <c r="AA1" s="168" t="s">
        <v>4545</v>
      </c>
      <c r="AB1" s="168" t="s">
        <v>950</v>
      </c>
      <c r="AC1" s="168" t="s">
        <v>937</v>
      </c>
      <c r="AD1" s="168" t="s">
        <v>4655</v>
      </c>
      <c r="AE1" s="168" t="s">
        <v>4656</v>
      </c>
      <c r="AF1" s="99" t="s">
        <v>8</v>
      </c>
    </row>
    <row r="2" spans="1:32">
      <c r="A2" s="99" t="s">
        <v>4243</v>
      </c>
      <c r="B2" s="204">
        <v>1707</v>
      </c>
      <c r="C2" s="206" t="s">
        <v>4621</v>
      </c>
      <c r="D2" s="99" t="s">
        <v>4503</v>
      </c>
      <c r="J2" s="168">
        <v>1</v>
      </c>
      <c r="K2" s="168" t="s">
        <v>4286</v>
      </c>
      <c r="L2" s="113">
        <v>4270000</v>
      </c>
      <c r="M2" s="168">
        <v>10</v>
      </c>
      <c r="N2" s="113">
        <f>L2*M2</f>
        <v>42700000</v>
      </c>
      <c r="O2" s="99" t="s">
        <v>751</v>
      </c>
      <c r="W2" s="168" t="s">
        <v>4535</v>
      </c>
      <c r="X2" s="168" t="s">
        <v>4296</v>
      </c>
      <c r="Y2" s="113">
        <v>281</v>
      </c>
      <c r="Z2" s="168">
        <v>15274</v>
      </c>
      <c r="AA2" s="168" t="s">
        <v>4243</v>
      </c>
      <c r="AB2" s="113">
        <v>165.5</v>
      </c>
      <c r="AC2" s="168">
        <f>Y2*Z2/AB2</f>
        <v>25933.498489425983</v>
      </c>
      <c r="AD2" s="168">
        <f t="shared" ref="AD2:AD7" si="0">Y2/AB2</f>
        <v>1.6978851963746224</v>
      </c>
      <c r="AE2" s="168">
        <f>AB2/Y2</f>
        <v>0.58896797153024916</v>
      </c>
      <c r="AF2" s="99"/>
    </row>
    <row r="3" spans="1:32">
      <c r="A3" s="99" t="s">
        <v>4593</v>
      </c>
      <c r="B3" s="204">
        <v>1184</v>
      </c>
      <c r="C3" s="206" t="s">
        <v>4599</v>
      </c>
      <c r="D3" s="99"/>
      <c r="J3" s="168">
        <v>2</v>
      </c>
      <c r="K3" s="168" t="s">
        <v>4499</v>
      </c>
      <c r="L3" s="113">
        <v>3845000</v>
      </c>
      <c r="M3" s="168">
        <v>4</v>
      </c>
      <c r="N3" s="113">
        <f>L3*M3</f>
        <v>15380000</v>
      </c>
      <c r="O3" s="99" t="s">
        <v>452</v>
      </c>
      <c r="W3" s="168" t="s">
        <v>4534</v>
      </c>
      <c r="X3" s="168" t="s">
        <v>4296</v>
      </c>
      <c r="Y3" s="113">
        <v>289.3</v>
      </c>
      <c r="Z3" s="168">
        <v>14073</v>
      </c>
      <c r="AA3" s="168" t="s">
        <v>4243</v>
      </c>
      <c r="AB3" s="113">
        <v>166.2</v>
      </c>
      <c r="AC3" s="168">
        <f t="shared" ref="AC3:AC5" si="1">Y3*Z3/AB3</f>
        <v>24496.503610108306</v>
      </c>
      <c r="AD3" s="168">
        <f t="shared" si="0"/>
        <v>1.7406738868832734</v>
      </c>
      <c r="AE3" s="168">
        <f t="shared" ref="AE3:AE44" si="2">AB3/Y3</f>
        <v>0.57449014863463521</v>
      </c>
      <c r="AF3" s="99"/>
    </row>
    <row r="4" spans="1:32">
      <c r="A4" s="99" t="s">
        <v>4594</v>
      </c>
      <c r="B4" s="204">
        <v>1804</v>
      </c>
      <c r="C4" s="206" t="s">
        <v>4600</v>
      </c>
      <c r="D4" s="99"/>
      <c r="F4" t="s">
        <v>25</v>
      </c>
      <c r="J4" s="168">
        <v>3</v>
      </c>
      <c r="K4" s="168" t="s">
        <v>4231</v>
      </c>
      <c r="L4" s="113">
        <v>3390000</v>
      </c>
      <c r="M4" s="168">
        <v>2</v>
      </c>
      <c r="N4" s="113">
        <f>L4*M4</f>
        <v>6780000</v>
      </c>
      <c r="O4" s="99" t="s">
        <v>751</v>
      </c>
      <c r="W4" s="168" t="s">
        <v>4536</v>
      </c>
      <c r="X4" s="168" t="s">
        <v>4296</v>
      </c>
      <c r="Y4" s="113">
        <v>281</v>
      </c>
      <c r="Z4" s="168">
        <v>5000</v>
      </c>
      <c r="AA4" s="168" t="s">
        <v>4243</v>
      </c>
      <c r="AB4" s="113">
        <v>160.19999999999999</v>
      </c>
      <c r="AC4" s="168">
        <f t="shared" si="1"/>
        <v>8770.2871410736589</v>
      </c>
      <c r="AD4" s="168">
        <f t="shared" si="0"/>
        <v>1.7540574282147317</v>
      </c>
      <c r="AE4" s="168">
        <f t="shared" si="2"/>
        <v>0.57010676156583628</v>
      </c>
      <c r="AF4" s="99"/>
    </row>
    <row r="5" spans="1:32">
      <c r="A5" s="99"/>
      <c r="B5" s="204"/>
      <c r="C5" s="206"/>
      <c r="D5" s="99"/>
      <c r="J5" s="223">
        <v>4</v>
      </c>
      <c r="K5" s="223" t="s">
        <v>4628</v>
      </c>
      <c r="L5" s="224">
        <v>0</v>
      </c>
      <c r="M5" s="223">
        <v>3</v>
      </c>
      <c r="N5" s="224">
        <f t="shared" ref="N5" si="3">L5*M5</f>
        <v>0</v>
      </c>
      <c r="O5" s="225" t="s">
        <v>4632</v>
      </c>
      <c r="W5" s="168" t="s">
        <v>994</v>
      </c>
      <c r="X5" s="168" t="s">
        <v>4243</v>
      </c>
      <c r="Y5" s="113">
        <v>174.7</v>
      </c>
      <c r="Z5" s="168">
        <v>13356</v>
      </c>
      <c r="AA5" s="168" t="s">
        <v>4296</v>
      </c>
      <c r="AB5" s="113">
        <v>284.7</v>
      </c>
      <c r="AC5" s="168">
        <f t="shared" si="1"/>
        <v>8195.6206533192835</v>
      </c>
      <c r="AD5" s="168">
        <f t="shared" si="0"/>
        <v>0.61362838075166837</v>
      </c>
      <c r="AE5" s="168">
        <f t="shared" si="2"/>
        <v>1.629650829994276</v>
      </c>
      <c r="AF5" s="99"/>
    </row>
    <row r="6" spans="1:32">
      <c r="A6" s="99" t="s">
        <v>1086</v>
      </c>
      <c r="B6" s="204">
        <v>4060000</v>
      </c>
      <c r="C6" s="169">
        <v>4260000</v>
      </c>
      <c r="D6" s="99" t="s">
        <v>4503</v>
      </c>
      <c r="F6" t="s">
        <v>25</v>
      </c>
      <c r="G6" s="96"/>
      <c r="H6" s="96"/>
      <c r="I6" s="96"/>
      <c r="J6" s="168">
        <v>5</v>
      </c>
      <c r="K6" s="168" t="s">
        <v>4633</v>
      </c>
      <c r="L6" s="113">
        <v>4183832</v>
      </c>
      <c r="M6" s="168">
        <v>6</v>
      </c>
      <c r="N6" s="113">
        <v>25071612</v>
      </c>
      <c r="O6" s="99" t="s">
        <v>452</v>
      </c>
      <c r="P6" s="96"/>
      <c r="Q6" s="96"/>
      <c r="R6" s="96"/>
      <c r="S6" s="96"/>
      <c r="W6" s="168" t="s">
        <v>4638</v>
      </c>
      <c r="X6" s="168" t="s">
        <v>1086</v>
      </c>
      <c r="Y6" s="113">
        <v>4183832</v>
      </c>
      <c r="Z6" s="168">
        <f>AB6*AC6/Y6</f>
        <v>2.132843288162622</v>
      </c>
      <c r="AA6" s="192" t="s">
        <v>4391</v>
      </c>
      <c r="AB6" s="113">
        <v>3405.9</v>
      </c>
      <c r="AC6" s="168">
        <v>2620</v>
      </c>
      <c r="AD6" s="192">
        <f t="shared" si="0"/>
        <v>1228.4071757831998</v>
      </c>
      <c r="AE6" s="168">
        <f t="shared" si="2"/>
        <v>8.1406232372619174E-4</v>
      </c>
      <c r="AF6" s="99"/>
    </row>
    <row r="7" spans="1:32">
      <c r="A7" s="99" t="s">
        <v>4570</v>
      </c>
      <c r="B7" s="204">
        <v>1689</v>
      </c>
      <c r="C7" s="169"/>
      <c r="D7" s="99"/>
      <c r="F7" s="117">
        <v>0</v>
      </c>
      <c r="G7" s="96"/>
      <c r="H7" s="96"/>
      <c r="I7" s="96"/>
      <c r="J7" s="168">
        <v>6</v>
      </c>
      <c r="K7" s="168" t="s">
        <v>4638</v>
      </c>
      <c r="L7" s="113">
        <v>4186993</v>
      </c>
      <c r="M7" s="168">
        <v>4</v>
      </c>
      <c r="N7" s="113">
        <v>16727037</v>
      </c>
      <c r="O7" s="99" t="s">
        <v>751</v>
      </c>
      <c r="P7" s="96"/>
      <c r="Q7" s="96"/>
      <c r="R7" s="96"/>
      <c r="S7" s="96"/>
      <c r="W7" s="168" t="s">
        <v>4638</v>
      </c>
      <c r="X7" s="168" t="s">
        <v>1086</v>
      </c>
      <c r="Y7" s="113">
        <v>4183832</v>
      </c>
      <c r="Z7" s="168">
        <f t="shared" ref="Z7:Z19" si="4">AB7*AC7/Y7</f>
        <v>0.24118578375039915</v>
      </c>
      <c r="AA7" s="168" t="s">
        <v>4640</v>
      </c>
      <c r="AB7" s="113">
        <v>217.1</v>
      </c>
      <c r="AC7" s="168">
        <v>4648</v>
      </c>
      <c r="AD7" s="168">
        <f t="shared" si="0"/>
        <v>19271.450944265314</v>
      </c>
      <c r="AE7" s="168">
        <f t="shared" si="2"/>
        <v>5.1890228861961954E-5</v>
      </c>
      <c r="AF7" s="99"/>
    </row>
    <row r="8" spans="1:32">
      <c r="A8" s="99" t="s">
        <v>4542</v>
      </c>
      <c r="B8" s="204">
        <v>3414</v>
      </c>
      <c r="C8" s="169">
        <v>3622</v>
      </c>
      <c r="D8" s="99"/>
      <c r="F8">
        <v>0</v>
      </c>
      <c r="G8" s="96"/>
      <c r="H8" s="96"/>
      <c r="I8" s="96"/>
      <c r="J8" s="168">
        <v>7</v>
      </c>
      <c r="K8" s="168" t="s">
        <v>4645</v>
      </c>
      <c r="L8" s="113">
        <v>4223698</v>
      </c>
      <c r="M8" s="168">
        <v>10</v>
      </c>
      <c r="N8" s="113">
        <v>42236984</v>
      </c>
      <c r="O8" s="99" t="s">
        <v>452</v>
      </c>
      <c r="P8" s="96"/>
      <c r="Q8" s="96"/>
      <c r="R8" s="96"/>
      <c r="S8" s="96"/>
      <c r="W8" s="168" t="s">
        <v>4638</v>
      </c>
      <c r="X8" s="168" t="s">
        <v>1086</v>
      </c>
      <c r="Y8" s="113">
        <v>4183832</v>
      </c>
      <c r="Z8" s="168">
        <f t="shared" si="4"/>
        <v>3.2966189847011065</v>
      </c>
      <c r="AA8" s="213" t="s">
        <v>4541</v>
      </c>
      <c r="AB8" s="113">
        <v>4500</v>
      </c>
      <c r="AC8" s="168">
        <v>3065</v>
      </c>
      <c r="AD8" s="213">
        <f t="shared" ref="AD8:AD15" si="5">Y8/AB8</f>
        <v>929.74044444444439</v>
      </c>
      <c r="AE8" s="168">
        <f t="shared" si="2"/>
        <v>1.0755689999024818E-3</v>
      </c>
      <c r="AF8" s="99"/>
    </row>
    <row r="9" spans="1:32">
      <c r="A9" s="99" t="s">
        <v>4587</v>
      </c>
      <c r="B9" s="204">
        <v>1174</v>
      </c>
      <c r="C9" s="169" t="s">
        <v>25</v>
      </c>
      <c r="D9" s="99"/>
      <c r="F9">
        <v>0</v>
      </c>
      <c r="G9" s="96"/>
      <c r="H9" s="96"/>
      <c r="I9" s="96"/>
      <c r="J9" s="168">
        <v>8</v>
      </c>
      <c r="K9" s="168" t="s">
        <v>4645</v>
      </c>
      <c r="L9" s="113">
        <v>4223698</v>
      </c>
      <c r="M9" s="168">
        <v>11</v>
      </c>
      <c r="N9" s="113">
        <v>46460683</v>
      </c>
      <c r="O9" s="99" t="s">
        <v>751</v>
      </c>
      <c r="P9" s="96"/>
      <c r="Q9" s="96"/>
      <c r="R9" s="96"/>
      <c r="S9" s="96"/>
      <c r="W9" s="168" t="s">
        <v>4645</v>
      </c>
      <c r="X9" s="168" t="s">
        <v>1086</v>
      </c>
      <c r="Y9" s="113">
        <v>4186993</v>
      </c>
      <c r="Z9" s="168">
        <f t="shared" si="4"/>
        <v>0.95852522323299805</v>
      </c>
      <c r="AA9" s="192" t="s">
        <v>4391</v>
      </c>
      <c r="AB9" s="113">
        <v>3322.3</v>
      </c>
      <c r="AC9" s="168">
        <v>1208</v>
      </c>
      <c r="AD9" s="192">
        <f t="shared" si="5"/>
        <v>1260.2693916864821</v>
      </c>
      <c r="AE9" s="168">
        <f t="shared" si="2"/>
        <v>7.934811450604288E-4</v>
      </c>
      <c r="AF9" s="99"/>
    </row>
    <row r="10" spans="1:32">
      <c r="A10" s="99" t="s">
        <v>4410</v>
      </c>
      <c r="B10" s="204">
        <v>472</v>
      </c>
      <c r="C10" s="169">
        <v>540</v>
      </c>
      <c r="D10" s="99"/>
      <c r="F10">
        <v>0</v>
      </c>
      <c r="G10" s="122"/>
      <c r="H10" s="96"/>
      <c r="I10" s="96"/>
      <c r="J10" s="168">
        <v>9</v>
      </c>
      <c r="K10" s="168" t="s">
        <v>4648</v>
      </c>
      <c r="L10" s="113">
        <f>N10/M10</f>
        <v>4369699.111111111</v>
      </c>
      <c r="M10" s="168">
        <v>4.5</v>
      </c>
      <c r="N10" s="113">
        <v>19663646</v>
      </c>
      <c r="O10" s="99" t="s">
        <v>751</v>
      </c>
      <c r="P10" s="96"/>
      <c r="Q10" s="96"/>
      <c r="R10" s="96"/>
      <c r="S10" s="96"/>
      <c r="T10" s="96"/>
      <c r="W10" s="168" t="s">
        <v>4645</v>
      </c>
      <c r="X10" s="168" t="s">
        <v>1086</v>
      </c>
      <c r="Y10" s="113">
        <v>4186993</v>
      </c>
      <c r="Z10" s="168">
        <f t="shared" si="4"/>
        <v>3.0092622557525175</v>
      </c>
      <c r="AA10" s="220" t="s">
        <v>4395</v>
      </c>
      <c r="AB10" s="113">
        <v>5249.9</v>
      </c>
      <c r="AC10" s="168">
        <v>2400</v>
      </c>
      <c r="AD10" s="220">
        <f t="shared" si="5"/>
        <v>797.53766738414072</v>
      </c>
      <c r="AE10" s="168">
        <f t="shared" si="2"/>
        <v>1.2538592732302155E-3</v>
      </c>
      <c r="AF10" s="99"/>
    </row>
    <row r="11" spans="1:32">
      <c r="A11" s="99"/>
      <c r="B11" s="204"/>
      <c r="C11" s="169"/>
      <c r="D11" s="99"/>
      <c r="F11" s="114">
        <v>0</v>
      </c>
      <c r="G11" s="122"/>
      <c r="H11" s="96"/>
      <c r="I11" s="96"/>
      <c r="J11" s="168">
        <v>10</v>
      </c>
      <c r="K11" s="168" t="s">
        <v>4648</v>
      </c>
      <c r="L11" s="113">
        <f>N11/M11</f>
        <v>4369699.111111111</v>
      </c>
      <c r="M11" s="168">
        <v>4.5</v>
      </c>
      <c r="N11" s="113">
        <v>19663646</v>
      </c>
      <c r="O11" s="99" t="s">
        <v>452</v>
      </c>
      <c r="P11" s="96"/>
      <c r="Q11" s="96"/>
      <c r="R11" s="96"/>
      <c r="S11" s="96"/>
      <c r="T11" s="96"/>
      <c r="W11" s="168" t="s">
        <v>4648</v>
      </c>
      <c r="X11" s="168" t="s">
        <v>1086</v>
      </c>
      <c r="Y11" s="113">
        <v>4223698</v>
      </c>
      <c r="Z11" s="168">
        <f t="shared" si="4"/>
        <v>11.463347995050782</v>
      </c>
      <c r="AA11" s="220" t="s">
        <v>4395</v>
      </c>
      <c r="AB11" s="113">
        <v>5330</v>
      </c>
      <c r="AC11" s="168">
        <v>9084</v>
      </c>
      <c r="AD11" s="220">
        <f t="shared" si="5"/>
        <v>792.43864915572237</v>
      </c>
      <c r="AE11" s="168">
        <f t="shared" si="2"/>
        <v>1.2619273442372064E-3</v>
      </c>
      <c r="AF11" s="99"/>
    </row>
    <row r="12" spans="1:32">
      <c r="A12" s="99" t="s">
        <v>4561</v>
      </c>
      <c r="B12" s="204">
        <v>650745</v>
      </c>
      <c r="C12" s="169"/>
      <c r="D12" s="59" t="s">
        <v>4900</v>
      </c>
      <c r="F12" s="114">
        <v>0</v>
      </c>
      <c r="J12" s="168">
        <v>11</v>
      </c>
      <c r="K12" s="168" t="s">
        <v>4675</v>
      </c>
      <c r="L12" s="113">
        <v>4374525</v>
      </c>
      <c r="M12" s="168">
        <v>1</v>
      </c>
      <c r="N12" s="113">
        <v>4374525</v>
      </c>
      <c r="O12" s="99" t="s">
        <v>751</v>
      </c>
      <c r="P12" s="96"/>
      <c r="Q12" s="96"/>
      <c r="R12" s="96"/>
      <c r="S12" s="96"/>
      <c r="W12" s="168" t="s">
        <v>4648</v>
      </c>
      <c r="X12" s="168" t="s">
        <v>1086</v>
      </c>
      <c r="Y12" s="113">
        <v>4223698</v>
      </c>
      <c r="Z12" s="168">
        <f t="shared" si="4"/>
        <v>9.4380816762940896</v>
      </c>
      <c r="AA12" s="226" t="s">
        <v>4410</v>
      </c>
      <c r="AB12" s="113">
        <v>498.9</v>
      </c>
      <c r="AC12" s="168">
        <v>79903</v>
      </c>
      <c r="AD12" s="226">
        <f t="shared" si="5"/>
        <v>8466.0212467428355</v>
      </c>
      <c r="AE12" s="168">
        <f t="shared" si="2"/>
        <v>1.1811924053282217E-4</v>
      </c>
      <c r="AF12" s="99"/>
    </row>
    <row r="13" spans="1:32">
      <c r="A13" s="99"/>
      <c r="B13" s="204"/>
      <c r="C13" s="169"/>
      <c r="D13" s="99"/>
      <c r="F13" s="114">
        <v>0</v>
      </c>
      <c r="J13" s="168">
        <v>12</v>
      </c>
      <c r="K13" s="168" t="s">
        <v>4675</v>
      </c>
      <c r="L13" s="113">
        <v>4374525</v>
      </c>
      <c r="M13" s="168">
        <v>1</v>
      </c>
      <c r="N13" s="113">
        <v>4374525</v>
      </c>
      <c r="O13" s="99" t="s">
        <v>452</v>
      </c>
      <c r="P13" s="96"/>
      <c r="Q13" s="96"/>
      <c r="R13" s="96"/>
      <c r="S13" s="96"/>
      <c r="W13" s="168" t="s">
        <v>4664</v>
      </c>
      <c r="X13" s="168" t="s">
        <v>1086</v>
      </c>
      <c r="Y13" s="113">
        <v>4369699</v>
      </c>
      <c r="Z13" s="168">
        <f t="shared" si="4"/>
        <v>0.22790475957268452</v>
      </c>
      <c r="AA13" s="168" t="s">
        <v>4623</v>
      </c>
      <c r="AB13" s="113">
        <v>724.8</v>
      </c>
      <c r="AC13" s="168">
        <v>1374</v>
      </c>
      <c r="AD13" s="168">
        <f t="shared" si="5"/>
        <v>6028.8341611479036</v>
      </c>
      <c r="AE13" s="168">
        <f t="shared" si="2"/>
        <v>1.6586954845173546E-4</v>
      </c>
      <c r="AF13" s="99"/>
    </row>
    <row r="14" spans="1:32">
      <c r="A14" s="99"/>
      <c r="B14" s="204"/>
      <c r="C14" s="169"/>
      <c r="D14" s="99"/>
      <c r="F14" s="114">
        <v>0</v>
      </c>
      <c r="J14" s="168">
        <v>13</v>
      </c>
      <c r="K14" s="168" t="s">
        <v>4691</v>
      </c>
      <c r="L14" s="169">
        <v>4367053</v>
      </c>
      <c r="M14" s="168">
        <v>1.5</v>
      </c>
      <c r="N14" s="113">
        <v>6550580</v>
      </c>
      <c r="O14" s="99" t="s">
        <v>751</v>
      </c>
      <c r="W14" s="168" t="s">
        <v>4664</v>
      </c>
      <c r="X14" s="168" t="s">
        <v>1086</v>
      </c>
      <c r="Y14" s="113">
        <v>4369699</v>
      </c>
      <c r="Z14" s="168">
        <f t="shared" si="4"/>
        <v>8.608136716052984</v>
      </c>
      <c r="AA14" s="220" t="s">
        <v>4395</v>
      </c>
      <c r="AB14" s="113">
        <v>5393.6</v>
      </c>
      <c r="AC14" s="168">
        <v>6974</v>
      </c>
      <c r="AD14" s="220">
        <f t="shared" si="5"/>
        <v>810.16371254820524</v>
      </c>
      <c r="AE14" s="168">
        <f t="shared" si="2"/>
        <v>1.2343184278825613E-3</v>
      </c>
      <c r="AF14" s="99"/>
    </row>
    <row r="15" spans="1:32">
      <c r="A15" s="99"/>
      <c r="B15" s="204"/>
      <c r="C15" s="169"/>
      <c r="D15" s="99"/>
      <c r="F15" s="114">
        <f>B12+F7+F8+F9+F10+F11+F12+F13+F14</f>
        <v>650745</v>
      </c>
      <c r="J15" s="168">
        <v>14</v>
      </c>
      <c r="K15" s="168" t="s">
        <v>4691</v>
      </c>
      <c r="L15" s="169">
        <v>4367053</v>
      </c>
      <c r="M15" s="168">
        <v>1.5</v>
      </c>
      <c r="N15" s="113">
        <v>6550580</v>
      </c>
      <c r="O15" s="99" t="s">
        <v>452</v>
      </c>
      <c r="W15" s="168" t="s">
        <v>4681</v>
      </c>
      <c r="X15" s="168" t="s">
        <v>1086</v>
      </c>
      <c r="Y15" s="113">
        <v>4374000</v>
      </c>
      <c r="Z15" s="168">
        <f t="shared" si="4"/>
        <v>2.0343806584362141</v>
      </c>
      <c r="AA15" s="220" t="s">
        <v>4395</v>
      </c>
      <c r="AB15" s="117">
        <v>5179.5</v>
      </c>
      <c r="AC15" s="19">
        <v>1718</v>
      </c>
      <c r="AD15" s="220">
        <f t="shared" si="5"/>
        <v>844.48305821025201</v>
      </c>
      <c r="AE15" s="168">
        <f t="shared" si="2"/>
        <v>1.184156378600823E-3</v>
      </c>
      <c r="AF15" s="99"/>
    </row>
    <row r="16" spans="1:32">
      <c r="A16" s="99"/>
      <c r="B16" s="204"/>
      <c r="C16" s="169"/>
      <c r="D16" s="99"/>
      <c r="J16" s="214">
        <v>15</v>
      </c>
      <c r="K16" s="214" t="s">
        <v>4695</v>
      </c>
      <c r="L16" s="169">
        <v>4433930</v>
      </c>
      <c r="M16" s="214">
        <v>1.5</v>
      </c>
      <c r="N16" s="113">
        <f>L16*M16</f>
        <v>6650895</v>
      </c>
      <c r="O16" s="99" t="s">
        <v>751</v>
      </c>
      <c r="W16" s="168" t="s">
        <v>4695</v>
      </c>
      <c r="X16" s="168" t="s">
        <v>1086</v>
      </c>
      <c r="Y16" s="113">
        <v>4367053</v>
      </c>
      <c r="Z16" s="168">
        <f t="shared" si="4"/>
        <v>2.1370469055447687</v>
      </c>
      <c r="AA16" s="192" t="s">
        <v>4391</v>
      </c>
      <c r="AB16" s="117">
        <v>3184.1</v>
      </c>
      <c r="AC16" s="19">
        <v>2931</v>
      </c>
      <c r="AD16" s="192">
        <f>Y16/AB16</f>
        <v>1371.5187965202099</v>
      </c>
      <c r="AE16" s="168">
        <f t="shared" si="2"/>
        <v>7.291186985823163E-4</v>
      </c>
      <c r="AF16" s="99"/>
    </row>
    <row r="17" spans="1:32">
      <c r="A17" s="99"/>
      <c r="J17" s="214">
        <v>16</v>
      </c>
      <c r="K17" s="214" t="s">
        <v>4695</v>
      </c>
      <c r="L17" s="169">
        <v>4433930</v>
      </c>
      <c r="M17" s="214">
        <v>1.5</v>
      </c>
      <c r="N17" s="113">
        <f>L17*M17</f>
        <v>6650895</v>
      </c>
      <c r="O17" s="99" t="s">
        <v>452</v>
      </c>
      <c r="W17" s="215" t="s">
        <v>4695</v>
      </c>
      <c r="X17" s="215" t="s">
        <v>1086</v>
      </c>
      <c r="Y17" s="113">
        <v>4367053</v>
      </c>
      <c r="Z17" s="215">
        <f t="shared" si="4"/>
        <v>0.12751793944337292</v>
      </c>
      <c r="AA17" s="226" t="s">
        <v>4410</v>
      </c>
      <c r="AB17" s="117">
        <v>508.1</v>
      </c>
      <c r="AC17" s="19">
        <v>1096</v>
      </c>
      <c r="AD17" s="226">
        <f>Y17/AB17</f>
        <v>8594.8691202519185</v>
      </c>
      <c r="AE17" s="215">
        <f t="shared" si="2"/>
        <v>1.1634848489358842E-4</v>
      </c>
      <c r="AF17" s="99"/>
    </row>
    <row r="18" spans="1:32">
      <c r="A18" s="99"/>
      <c r="B18" s="204">
        <v>3965000</v>
      </c>
      <c r="C18" s="169"/>
      <c r="D18" s="99" t="s">
        <v>4491</v>
      </c>
      <c r="J18" s="217">
        <v>17</v>
      </c>
      <c r="K18" s="217" t="s">
        <v>4732</v>
      </c>
      <c r="L18" s="169">
        <v>4291628</v>
      </c>
      <c r="M18" s="217">
        <v>0.5</v>
      </c>
      <c r="N18" s="113">
        <v>2145814</v>
      </c>
      <c r="O18" s="99" t="s">
        <v>751</v>
      </c>
      <c r="W18" s="168" t="s">
        <v>4718</v>
      </c>
      <c r="X18" s="168" t="s">
        <v>1086</v>
      </c>
      <c r="Y18" s="113">
        <v>4433930</v>
      </c>
      <c r="Z18" s="168">
        <f t="shared" si="4"/>
        <v>2.9409688470499082</v>
      </c>
      <c r="AA18" s="198" t="s">
        <v>4391</v>
      </c>
      <c r="AB18" s="117">
        <v>3180.5</v>
      </c>
      <c r="AC18" s="19">
        <v>4100</v>
      </c>
      <c r="AD18" s="198">
        <f t="shared" ref="AD18:AD19" si="6">Y18/AB18</f>
        <v>1394.0984121993397</v>
      </c>
      <c r="AE18" s="168">
        <f t="shared" si="2"/>
        <v>7.1730947489022151E-4</v>
      </c>
      <c r="AF18" s="99"/>
    </row>
    <row r="19" spans="1:32">
      <c r="A19" s="99"/>
      <c r="B19" s="204">
        <v>3880000</v>
      </c>
      <c r="C19" s="169"/>
      <c r="D19" s="99" t="s">
        <v>4498</v>
      </c>
      <c r="J19" s="217">
        <v>18</v>
      </c>
      <c r="K19" s="217" t="s">
        <v>4732</v>
      </c>
      <c r="L19" s="169">
        <v>4291628</v>
      </c>
      <c r="M19" s="217">
        <v>0.5</v>
      </c>
      <c r="N19" s="113">
        <v>2145814</v>
      </c>
      <c r="O19" s="99" t="s">
        <v>452</v>
      </c>
      <c r="R19" t="s">
        <v>25</v>
      </c>
      <c r="T19" t="s">
        <v>25</v>
      </c>
      <c r="W19" s="168" t="s">
        <v>4718</v>
      </c>
      <c r="X19" s="168" t="s">
        <v>1086</v>
      </c>
      <c r="Y19" s="113">
        <v>4433930</v>
      </c>
      <c r="Z19" s="168">
        <f t="shared" si="4"/>
        <v>0.13984559972755545</v>
      </c>
      <c r="AA19" s="226" t="s">
        <v>4410</v>
      </c>
      <c r="AB19" s="117">
        <v>503.3</v>
      </c>
      <c r="AC19" s="19">
        <v>1232</v>
      </c>
      <c r="AD19" s="226">
        <f t="shared" si="6"/>
        <v>8809.7158752235246</v>
      </c>
      <c r="AE19" s="168">
        <f t="shared" si="2"/>
        <v>1.1351103873989892E-4</v>
      </c>
      <c r="AF19" s="99"/>
    </row>
    <row r="20" spans="1:32">
      <c r="A20" s="99" t="s">
        <v>4504</v>
      </c>
      <c r="B20" s="205"/>
      <c r="C20" s="169">
        <v>3894000</v>
      </c>
      <c r="D20" s="99" t="s">
        <v>4499</v>
      </c>
      <c r="J20" s="217">
        <v>19</v>
      </c>
      <c r="K20" s="217" t="s">
        <v>4747</v>
      </c>
      <c r="L20" s="169">
        <v>4369730</v>
      </c>
      <c r="M20" s="217">
        <v>1</v>
      </c>
      <c r="N20" s="113">
        <f t="shared" ref="N20:N36" si="7">L20*M20</f>
        <v>4369730</v>
      </c>
      <c r="O20" s="99" t="s">
        <v>751</v>
      </c>
      <c r="W20" s="168" t="s">
        <v>4725</v>
      </c>
      <c r="X20" s="168" t="s">
        <v>1086</v>
      </c>
      <c r="Y20" s="113">
        <v>4183832</v>
      </c>
      <c r="Z20" s="217">
        <v>0.24415416297786335</v>
      </c>
      <c r="AA20" s="226" t="s">
        <v>4410</v>
      </c>
      <c r="AB20" s="117">
        <v>501.2</v>
      </c>
      <c r="AC20" s="19">
        <f>Y20*Z20/AB20</f>
        <v>2038.1085395051875</v>
      </c>
      <c r="AD20" s="226">
        <f t="shared" ref="AD20:AD42" si="8">Y20/AB20</f>
        <v>8347.6296887470071</v>
      </c>
      <c r="AE20" s="168">
        <f t="shared" si="2"/>
        <v>1.1979448505580529E-4</v>
      </c>
      <c r="AF20" s="99"/>
    </row>
    <row r="21" spans="1:32">
      <c r="A21" s="99"/>
      <c r="B21" s="204"/>
      <c r="C21" s="169">
        <v>3845000</v>
      </c>
      <c r="D21" s="99" t="s">
        <v>4499</v>
      </c>
      <c r="J21" s="217">
        <v>20</v>
      </c>
      <c r="K21" s="217" t="s">
        <v>4747</v>
      </c>
      <c r="L21" s="169">
        <v>4369730</v>
      </c>
      <c r="M21" s="217">
        <v>1</v>
      </c>
      <c r="N21" s="113">
        <f t="shared" si="7"/>
        <v>4369730</v>
      </c>
      <c r="O21" s="99" t="s">
        <v>452</v>
      </c>
      <c r="R21" t="s">
        <v>25</v>
      </c>
      <c r="W21" s="217" t="s">
        <v>4732</v>
      </c>
      <c r="X21" s="217" t="s">
        <v>1086</v>
      </c>
      <c r="Y21" s="113">
        <v>4183832</v>
      </c>
      <c r="Z21" s="217">
        <v>0.23385260211213069</v>
      </c>
      <c r="AA21" s="226" t="s">
        <v>4410</v>
      </c>
      <c r="AB21" s="117">
        <v>481.7</v>
      </c>
      <c r="AC21" s="19">
        <f>Y21*Z21/AB21</f>
        <v>2031.1397135146358</v>
      </c>
      <c r="AD21" s="226">
        <f t="shared" si="8"/>
        <v>8685.555324891011</v>
      </c>
      <c r="AE21" s="217">
        <f t="shared" si="2"/>
        <v>1.1513368605622787E-4</v>
      </c>
      <c r="AF21" s="99"/>
    </row>
    <row r="22" spans="1:32">
      <c r="A22" s="99"/>
      <c r="B22" s="204"/>
      <c r="C22" s="169">
        <v>3845000</v>
      </c>
      <c r="D22" s="99" t="s">
        <v>4499</v>
      </c>
      <c r="J22" s="168">
        <v>21</v>
      </c>
      <c r="K22" s="168" t="s">
        <v>4749</v>
      </c>
      <c r="L22" s="113">
        <v>4398820</v>
      </c>
      <c r="M22" s="168">
        <v>2</v>
      </c>
      <c r="N22" s="113">
        <f t="shared" si="7"/>
        <v>8797640</v>
      </c>
      <c r="O22" s="99" t="s">
        <v>751</v>
      </c>
      <c r="R22" t="s">
        <v>25</v>
      </c>
      <c r="W22" s="217" t="s">
        <v>4735</v>
      </c>
      <c r="X22" s="217" t="s">
        <v>1086</v>
      </c>
      <c r="Y22" s="113">
        <v>4291628</v>
      </c>
      <c r="Z22" s="217">
        <f t="shared" ref="Z22:Z43" si="9">AB22*AC22/Y22</f>
        <v>0.94748414820669458</v>
      </c>
      <c r="AA22" s="198" t="s">
        <v>4391</v>
      </c>
      <c r="AB22" s="117">
        <v>3115.9</v>
      </c>
      <c r="AC22" s="19">
        <v>1305</v>
      </c>
      <c r="AD22" s="198">
        <f t="shared" si="8"/>
        <v>1377.3317500561634</v>
      </c>
      <c r="AE22" s="217">
        <f t="shared" si="2"/>
        <v>7.2604149287869312E-4</v>
      </c>
      <c r="AF22" s="99"/>
    </row>
    <row r="23" spans="1:32">
      <c r="A23" s="99"/>
      <c r="B23" s="204"/>
      <c r="C23" s="169">
        <v>3845000</v>
      </c>
      <c r="D23" s="99" t="s">
        <v>4499</v>
      </c>
      <c r="J23" s="217">
        <v>22</v>
      </c>
      <c r="K23" s="217" t="s">
        <v>4749</v>
      </c>
      <c r="L23" s="113">
        <v>4398820</v>
      </c>
      <c r="M23" s="217">
        <v>2</v>
      </c>
      <c r="N23" s="113">
        <f t="shared" si="7"/>
        <v>8797640</v>
      </c>
      <c r="O23" s="99" t="s">
        <v>452</v>
      </c>
      <c r="Q23" t="s">
        <v>25</v>
      </c>
      <c r="R23" t="s">
        <v>25</v>
      </c>
      <c r="W23" s="168" t="s">
        <v>4735</v>
      </c>
      <c r="X23" s="168" t="s">
        <v>1086</v>
      </c>
      <c r="Y23" s="113">
        <v>4291628</v>
      </c>
      <c r="Z23" s="217">
        <f t="shared" si="9"/>
        <v>4.7641314671262279E-2</v>
      </c>
      <c r="AA23" s="19" t="s">
        <v>4594</v>
      </c>
      <c r="AB23" s="117">
        <v>178.1</v>
      </c>
      <c r="AC23" s="19">
        <v>1148</v>
      </c>
      <c r="AD23" s="19">
        <f t="shared" si="8"/>
        <v>24096.732172936554</v>
      </c>
      <c r="AE23" s="168">
        <f t="shared" si="2"/>
        <v>4.1499403023747632E-5</v>
      </c>
      <c r="AF23" s="99"/>
    </row>
    <row r="24" spans="1:32">
      <c r="A24" s="99" t="s">
        <v>4506</v>
      </c>
      <c r="B24" s="204">
        <v>4020000</v>
      </c>
      <c r="C24" s="169">
        <v>30000</v>
      </c>
      <c r="D24" s="99" t="s">
        <v>4503</v>
      </c>
      <c r="J24" s="223">
        <v>23</v>
      </c>
      <c r="K24" s="223" t="s">
        <v>4749</v>
      </c>
      <c r="L24" s="224">
        <v>4388600</v>
      </c>
      <c r="M24" s="223">
        <v>5</v>
      </c>
      <c r="N24" s="224">
        <f t="shared" si="7"/>
        <v>21943000</v>
      </c>
      <c r="O24" s="225" t="s">
        <v>4764</v>
      </c>
      <c r="W24" s="217" t="s">
        <v>4749</v>
      </c>
      <c r="X24" s="217" t="s">
        <v>1086</v>
      </c>
      <c r="Y24" s="113">
        <v>4369730</v>
      </c>
      <c r="Z24" s="217">
        <f t="shared" si="9"/>
        <v>1.9131203758584627</v>
      </c>
      <c r="AA24" s="198" t="s">
        <v>4391</v>
      </c>
      <c r="AB24" s="117">
        <v>3120.5</v>
      </c>
      <c r="AC24" s="19">
        <v>2679</v>
      </c>
      <c r="AD24" s="198">
        <f t="shared" si="8"/>
        <v>1400.3300753084441</v>
      </c>
      <c r="AE24" s="217">
        <f t="shared" si="2"/>
        <v>7.1411734821144558E-4</v>
      </c>
      <c r="AF24" s="99"/>
    </row>
    <row r="25" spans="1:32">
      <c r="A25" s="99"/>
      <c r="B25" s="204">
        <v>3915000</v>
      </c>
      <c r="C25" s="169"/>
      <c r="D25" s="99" t="s">
        <v>4505</v>
      </c>
      <c r="J25" s="217">
        <v>24</v>
      </c>
      <c r="K25" s="217" t="s">
        <v>4752</v>
      </c>
      <c r="L25" s="113">
        <v>4445103</v>
      </c>
      <c r="M25" s="217">
        <v>1.5</v>
      </c>
      <c r="N25" s="113">
        <f t="shared" si="7"/>
        <v>6667654.5</v>
      </c>
      <c r="O25" s="99" t="s">
        <v>751</v>
      </c>
      <c r="W25" s="217" t="s">
        <v>4752</v>
      </c>
      <c r="X25" s="217" t="s">
        <v>1086</v>
      </c>
      <c r="Y25" s="113">
        <v>4398820</v>
      </c>
      <c r="Z25" s="217">
        <f t="shared" si="9"/>
        <v>3.9898935623644527</v>
      </c>
      <c r="AA25" s="198" t="s">
        <v>4391</v>
      </c>
      <c r="AB25" s="117">
        <v>3112.4</v>
      </c>
      <c r="AC25" s="19">
        <v>5639</v>
      </c>
      <c r="AD25" s="198">
        <f t="shared" si="8"/>
        <v>1413.3209099087521</v>
      </c>
      <c r="AE25" s="217">
        <f t="shared" si="2"/>
        <v>7.0755338931804436E-4</v>
      </c>
      <c r="AF25" s="99"/>
    </row>
    <row r="26" spans="1:32">
      <c r="A26" s="99"/>
      <c r="B26" s="204">
        <v>3821000</v>
      </c>
      <c r="C26" s="169"/>
      <c r="D26" s="99" t="s">
        <v>4509</v>
      </c>
      <c r="J26" s="217">
        <v>25</v>
      </c>
      <c r="K26" s="217" t="s">
        <v>4752</v>
      </c>
      <c r="L26" s="113">
        <v>4445103</v>
      </c>
      <c r="M26" s="217">
        <v>1.5</v>
      </c>
      <c r="N26" s="113">
        <f t="shared" si="7"/>
        <v>6667654.5</v>
      </c>
      <c r="O26" s="99" t="s">
        <v>452</v>
      </c>
      <c r="R26" t="s">
        <v>25</v>
      </c>
      <c r="W26" s="217" t="s">
        <v>4763</v>
      </c>
      <c r="X26" s="217" t="s">
        <v>1086</v>
      </c>
      <c r="Y26" s="113">
        <v>4445103</v>
      </c>
      <c r="Z26" s="217">
        <f>AB26*AC26/Y26</f>
        <v>1.8767484128039327</v>
      </c>
      <c r="AA26" s="226" t="s">
        <v>4410</v>
      </c>
      <c r="AB26" s="117">
        <v>489</v>
      </c>
      <c r="AC26" s="19">
        <v>17060</v>
      </c>
      <c r="AD26" s="226">
        <f t="shared" si="8"/>
        <v>9090.1901840490791</v>
      </c>
      <c r="AE26" s="217">
        <f t="shared" si="2"/>
        <v>1.1000869946095737E-4</v>
      </c>
      <c r="AF26" s="99"/>
    </row>
    <row r="27" spans="1:32">
      <c r="A27" s="99"/>
      <c r="B27" s="204"/>
      <c r="C27" s="169"/>
      <c r="D27" s="99" t="s">
        <v>4516</v>
      </c>
      <c r="J27" s="217">
        <v>26</v>
      </c>
      <c r="K27" s="217" t="s">
        <v>4763</v>
      </c>
      <c r="L27" s="113">
        <v>4490623</v>
      </c>
      <c r="M27" s="217">
        <v>2</v>
      </c>
      <c r="N27" s="113">
        <f t="shared" si="7"/>
        <v>8981246</v>
      </c>
      <c r="O27" s="99" t="s">
        <v>751</v>
      </c>
      <c r="R27" t="s">
        <v>25</v>
      </c>
      <c r="S27" t="s">
        <v>25</v>
      </c>
      <c r="W27" s="217" t="s">
        <v>3684</v>
      </c>
      <c r="X27" s="217" t="s">
        <v>1086</v>
      </c>
      <c r="Y27" s="113">
        <v>4490623</v>
      </c>
      <c r="Z27" s="217">
        <f t="shared" si="9"/>
        <v>3.9795864404560346</v>
      </c>
      <c r="AA27" s="226" t="s">
        <v>4410</v>
      </c>
      <c r="AB27" s="217">
        <v>486.4</v>
      </c>
      <c r="AC27" s="217">
        <v>36741</v>
      </c>
      <c r="AD27" s="226">
        <f t="shared" si="8"/>
        <v>9232.3663651315801</v>
      </c>
      <c r="AE27" s="217">
        <f t="shared" si="2"/>
        <v>1.0831459242960275E-4</v>
      </c>
      <c r="AF27" s="99"/>
    </row>
    <row r="28" spans="1:32">
      <c r="A28" s="99" t="s">
        <v>4537</v>
      </c>
      <c r="B28" s="204"/>
      <c r="C28" s="169">
        <v>3421299</v>
      </c>
      <c r="D28" s="99" t="s">
        <v>4231</v>
      </c>
      <c r="J28" s="217">
        <v>27</v>
      </c>
      <c r="K28" s="217" t="s">
        <v>4763</v>
      </c>
      <c r="L28" s="113">
        <v>4490623</v>
      </c>
      <c r="M28" s="217">
        <v>2</v>
      </c>
      <c r="N28" s="113">
        <f t="shared" si="7"/>
        <v>8981246</v>
      </c>
      <c r="O28" s="99" t="s">
        <v>452</v>
      </c>
      <c r="W28" s="217" t="s">
        <v>4776</v>
      </c>
      <c r="X28" s="217" t="s">
        <v>1086</v>
      </c>
      <c r="Y28" s="113">
        <v>4590878</v>
      </c>
      <c r="Z28" s="217">
        <f t="shared" si="9"/>
        <v>2.0741130563696095</v>
      </c>
      <c r="AA28" s="212" t="s">
        <v>4410</v>
      </c>
      <c r="AB28" s="217">
        <v>476.1</v>
      </c>
      <c r="AC28" s="217">
        <v>20000</v>
      </c>
      <c r="AD28" s="212">
        <f t="shared" si="8"/>
        <v>9642.6759084225996</v>
      </c>
      <c r="AE28" s="217">
        <f t="shared" si="2"/>
        <v>1.0370565281848048E-4</v>
      </c>
      <c r="AF28" s="99"/>
    </row>
    <row r="29" spans="1:32">
      <c r="A29" s="99" t="s">
        <v>4566</v>
      </c>
      <c r="B29" s="204"/>
      <c r="C29" s="169">
        <v>3490000</v>
      </c>
      <c r="D29" s="99" t="s">
        <v>4231</v>
      </c>
      <c r="J29" s="217">
        <v>28</v>
      </c>
      <c r="K29" s="217" t="s">
        <v>3684</v>
      </c>
      <c r="L29" s="113">
        <v>4590878</v>
      </c>
      <c r="M29" s="217">
        <v>2</v>
      </c>
      <c r="N29" s="113">
        <f t="shared" si="7"/>
        <v>9181756</v>
      </c>
      <c r="O29" s="99" t="s">
        <v>751</v>
      </c>
      <c r="W29" s="217" t="s">
        <v>4776</v>
      </c>
      <c r="X29" s="217" t="s">
        <v>1086</v>
      </c>
      <c r="Y29" s="113">
        <v>4590878</v>
      </c>
      <c r="Z29" s="217">
        <f t="shared" si="9"/>
        <v>2.3602445980921298</v>
      </c>
      <c r="AA29" s="198" t="s">
        <v>4391</v>
      </c>
      <c r="AB29" s="217">
        <v>3095</v>
      </c>
      <c r="AC29" s="217">
        <v>3501</v>
      </c>
      <c r="AD29" s="198">
        <f t="shared" si="8"/>
        <v>1483.3208400646204</v>
      </c>
      <c r="AE29" s="217">
        <f t="shared" si="2"/>
        <v>6.7416298146019129E-4</v>
      </c>
      <c r="AF29" s="99"/>
    </row>
    <row r="30" spans="1:32">
      <c r="A30" s="99" t="s">
        <v>4567</v>
      </c>
      <c r="B30" s="204"/>
      <c r="C30" s="169">
        <v>271000</v>
      </c>
      <c r="D30" s="99" t="s">
        <v>4563</v>
      </c>
      <c r="J30" s="217">
        <v>29</v>
      </c>
      <c r="K30" s="217" t="s">
        <v>3684</v>
      </c>
      <c r="L30" s="113">
        <v>4590878</v>
      </c>
      <c r="M30" s="217">
        <v>2</v>
      </c>
      <c r="N30" s="113">
        <f t="shared" si="7"/>
        <v>9181756</v>
      </c>
      <c r="O30" s="99" t="s">
        <v>452</v>
      </c>
      <c r="R30" t="s">
        <v>25</v>
      </c>
      <c r="W30" s="217" t="s">
        <v>4776</v>
      </c>
      <c r="X30" s="217" t="s">
        <v>1086</v>
      </c>
      <c r="Y30" s="113">
        <v>4590878</v>
      </c>
      <c r="Z30" s="217">
        <f t="shared" si="9"/>
        <v>0.33907971416360883</v>
      </c>
      <c r="AA30" s="229" t="s">
        <v>4243</v>
      </c>
      <c r="AB30" s="117">
        <v>168.8</v>
      </c>
      <c r="AC30" s="19">
        <v>9222</v>
      </c>
      <c r="AD30" s="229">
        <f t="shared" si="8"/>
        <v>27197.14454976303</v>
      </c>
      <c r="AE30" s="217">
        <f t="shared" si="2"/>
        <v>3.6768565838604295E-5</v>
      </c>
      <c r="AF30" s="99"/>
    </row>
    <row r="31" spans="1:32">
      <c r="A31" s="99" t="s">
        <v>4575</v>
      </c>
      <c r="B31" s="204"/>
      <c r="C31" s="169">
        <v>69700</v>
      </c>
      <c r="D31" s="99" t="s">
        <v>4568</v>
      </c>
      <c r="J31" s="217">
        <v>30</v>
      </c>
      <c r="K31" s="217" t="s">
        <v>4776</v>
      </c>
      <c r="L31" s="113">
        <v>4724483</v>
      </c>
      <c r="M31" s="217">
        <v>2.5</v>
      </c>
      <c r="N31" s="113">
        <f t="shared" si="7"/>
        <v>11811207.5</v>
      </c>
      <c r="O31" s="99" t="s">
        <v>751</v>
      </c>
      <c r="W31" s="217" t="s">
        <v>4776</v>
      </c>
      <c r="X31" s="217" t="s">
        <v>1086</v>
      </c>
      <c r="Y31" s="113">
        <v>4590878</v>
      </c>
      <c r="Z31" s="217">
        <f t="shared" si="9"/>
        <v>1.0887767002303264</v>
      </c>
      <c r="AA31" s="13" t="s">
        <v>4542</v>
      </c>
      <c r="AB31" s="117">
        <v>3859.8</v>
      </c>
      <c r="AC31" s="19">
        <v>1295</v>
      </c>
      <c r="AD31" s="13">
        <f t="shared" si="8"/>
        <v>1189.4082594953106</v>
      </c>
      <c r="AE31" s="217">
        <f t="shared" si="2"/>
        <v>8.4075420867206669E-4</v>
      </c>
      <c r="AF31" s="99"/>
    </row>
    <row r="32" spans="1:32">
      <c r="A32" s="99"/>
      <c r="B32" s="204"/>
      <c r="C32" s="169"/>
      <c r="D32" s="99"/>
      <c r="J32" s="217">
        <v>31</v>
      </c>
      <c r="K32" s="217" t="s">
        <v>4776</v>
      </c>
      <c r="L32" s="113">
        <v>4724483</v>
      </c>
      <c r="M32" s="217">
        <v>2.5</v>
      </c>
      <c r="N32" s="113">
        <f t="shared" si="7"/>
        <v>11811207.5</v>
      </c>
      <c r="O32" s="99" t="s">
        <v>452</v>
      </c>
      <c r="W32" s="217" t="s">
        <v>4786</v>
      </c>
      <c r="X32" s="217" t="s">
        <v>1086</v>
      </c>
      <c r="Y32" s="113">
        <v>4445103</v>
      </c>
      <c r="Z32" s="217">
        <f t="shared" si="9"/>
        <v>1.0998433557107676</v>
      </c>
      <c r="AA32" s="192" t="s">
        <v>4391</v>
      </c>
      <c r="AB32" s="117">
        <v>3069</v>
      </c>
      <c r="AC32" s="217">
        <v>1593</v>
      </c>
      <c r="AD32" s="192">
        <f t="shared" si="8"/>
        <v>1448.3880742913002</v>
      </c>
      <c r="AE32" s="217">
        <f t="shared" si="2"/>
        <v>6.9042269661692874E-4</v>
      </c>
      <c r="AF32" s="99" t="s">
        <v>4788</v>
      </c>
    </row>
    <row r="33" spans="1:32">
      <c r="A33" s="99"/>
      <c r="B33" s="204"/>
      <c r="C33" s="169"/>
      <c r="D33" s="99"/>
      <c r="J33" s="217">
        <v>32</v>
      </c>
      <c r="K33" s="217" t="s">
        <v>4802</v>
      </c>
      <c r="L33" s="113">
        <v>4852712</v>
      </c>
      <c r="M33" s="217">
        <v>8.5</v>
      </c>
      <c r="N33" s="113">
        <f t="shared" si="7"/>
        <v>41248052</v>
      </c>
      <c r="O33" s="99" t="s">
        <v>751</v>
      </c>
      <c r="W33" s="217" t="s">
        <v>4786</v>
      </c>
      <c r="X33" s="217" t="s">
        <v>1086</v>
      </c>
      <c r="Y33" s="113">
        <v>4724483</v>
      </c>
      <c r="Z33" s="217">
        <f t="shared" si="9"/>
        <v>2.1503257816781223</v>
      </c>
      <c r="AA33" s="193" t="s">
        <v>4391</v>
      </c>
      <c r="AB33" s="117">
        <v>3099.2</v>
      </c>
      <c r="AC33" s="217">
        <v>3278</v>
      </c>
      <c r="AD33" s="193">
        <f t="shared" si="8"/>
        <v>1524.4201729478575</v>
      </c>
      <c r="AE33" s="217">
        <f t="shared" si="2"/>
        <v>6.5598712070717572E-4</v>
      </c>
      <c r="AF33" s="99"/>
    </row>
    <row r="34" spans="1:32">
      <c r="A34" s="99"/>
      <c r="B34" s="204"/>
      <c r="C34" s="169"/>
      <c r="D34" s="99"/>
      <c r="I34" t="s">
        <v>25</v>
      </c>
      <c r="J34" s="217">
        <v>33</v>
      </c>
      <c r="K34" s="217" t="s">
        <v>4802</v>
      </c>
      <c r="L34" s="113">
        <v>4852712</v>
      </c>
      <c r="M34" s="217">
        <v>8.5</v>
      </c>
      <c r="N34" s="113">
        <f t="shared" si="7"/>
        <v>41248052</v>
      </c>
      <c r="O34" s="99" t="s">
        <v>452</v>
      </c>
      <c r="W34" s="217" t="s">
        <v>4786</v>
      </c>
      <c r="X34" s="217" t="s">
        <v>1086</v>
      </c>
      <c r="Y34" s="113">
        <v>4724483</v>
      </c>
      <c r="Z34" s="217">
        <f t="shared" si="9"/>
        <v>2.8236157480088302</v>
      </c>
      <c r="AA34" s="5" t="s">
        <v>4542</v>
      </c>
      <c r="AB34" s="117">
        <v>3853.3</v>
      </c>
      <c r="AC34" s="217">
        <v>3462</v>
      </c>
      <c r="AD34" s="5">
        <f t="shared" si="8"/>
        <v>1226.0875094075207</v>
      </c>
      <c r="AE34" s="217">
        <f t="shared" si="2"/>
        <v>8.1560246909556037E-4</v>
      </c>
      <c r="AF34" s="99"/>
    </row>
    <row r="35" spans="1:32">
      <c r="A35" s="99"/>
      <c r="B35" s="169"/>
      <c r="C35" s="169"/>
      <c r="D35" s="99"/>
      <c r="J35" s="217">
        <v>34</v>
      </c>
      <c r="K35" s="217" t="s">
        <v>4804</v>
      </c>
      <c r="L35" s="113">
        <v>4977171</v>
      </c>
      <c r="M35" s="217">
        <v>7.5</v>
      </c>
      <c r="N35" s="113">
        <f t="shared" si="7"/>
        <v>37328782.5</v>
      </c>
      <c r="O35" s="99" t="s">
        <v>751</v>
      </c>
      <c r="W35" s="217" t="s">
        <v>4804</v>
      </c>
      <c r="X35" s="217" t="s">
        <v>1086</v>
      </c>
      <c r="Y35" s="113">
        <v>4852712</v>
      </c>
      <c r="Z35" s="217">
        <f t="shared" si="9"/>
        <v>0.69267922761540357</v>
      </c>
      <c r="AA35" s="198" t="s">
        <v>4391</v>
      </c>
      <c r="AB35" s="117">
        <v>3324.8</v>
      </c>
      <c r="AC35" s="217">
        <v>1011</v>
      </c>
      <c r="AD35" s="198">
        <f t="shared" si="8"/>
        <v>1459.5500481231952</v>
      </c>
      <c r="AE35" s="217">
        <f t="shared" si="2"/>
        <v>6.8514265837329731E-4</v>
      </c>
      <c r="AF35" s="99"/>
    </row>
    <row r="36" spans="1:32">
      <c r="B36" s="58"/>
      <c r="C36" s="58"/>
      <c r="D36" s="115"/>
      <c r="J36" s="217">
        <v>35</v>
      </c>
      <c r="K36" s="217" t="s">
        <v>4804</v>
      </c>
      <c r="L36" s="113">
        <v>4977171</v>
      </c>
      <c r="M36" s="217">
        <v>7.5</v>
      </c>
      <c r="N36" s="113">
        <f t="shared" si="7"/>
        <v>37328782.5</v>
      </c>
      <c r="O36" s="99" t="s">
        <v>452</v>
      </c>
      <c r="R36" s="96"/>
      <c r="W36" s="217" t="s">
        <v>4804</v>
      </c>
      <c r="X36" s="217" t="s">
        <v>1086</v>
      </c>
      <c r="Y36" s="113">
        <v>4852712</v>
      </c>
      <c r="Z36" s="217">
        <f t="shared" si="9"/>
        <v>13.047731721973198</v>
      </c>
      <c r="AA36" s="13" t="s">
        <v>4542</v>
      </c>
      <c r="AB36" s="117">
        <v>4176.3</v>
      </c>
      <c r="AC36" s="217">
        <v>15161</v>
      </c>
      <c r="AD36" s="13">
        <f t="shared" si="8"/>
        <v>1161.9644182649713</v>
      </c>
      <c r="AE36" s="217">
        <f t="shared" si="2"/>
        <v>8.6061155081941813E-4</v>
      </c>
      <c r="AF36" s="99"/>
    </row>
    <row r="37" spans="1:32">
      <c r="B37" t="s">
        <v>25</v>
      </c>
      <c r="J37" s="217"/>
      <c r="K37" s="217"/>
      <c r="L37" s="113"/>
      <c r="M37" s="217"/>
      <c r="N37" s="113"/>
      <c r="O37" s="99"/>
      <c r="W37" s="217" t="s">
        <v>4804</v>
      </c>
      <c r="X37" s="217" t="s">
        <v>1086</v>
      </c>
      <c r="Y37" s="113">
        <v>4852712</v>
      </c>
      <c r="Z37" s="217">
        <f t="shared" si="9"/>
        <v>3.1790291490613911</v>
      </c>
      <c r="AA37" s="226" t="s">
        <v>4410</v>
      </c>
      <c r="AB37" s="117">
        <v>525.1</v>
      </c>
      <c r="AC37" s="217">
        <v>29379</v>
      </c>
      <c r="AD37" s="226">
        <f t="shared" si="8"/>
        <v>9241.5006665397068</v>
      </c>
      <c r="AE37" s="217">
        <f t="shared" si="2"/>
        <v>1.0820753426125433E-4</v>
      </c>
      <c r="AF37" s="99"/>
    </row>
    <row r="38" spans="1:32">
      <c r="B38" s="114">
        <f>SUM(C18:C35)-SUM(B18:B35)</f>
        <v>3109999</v>
      </c>
      <c r="C38" t="s">
        <v>916</v>
      </c>
      <c r="J38" s="217"/>
      <c r="K38" s="217"/>
      <c r="L38" s="113"/>
      <c r="M38" s="217"/>
      <c r="N38" s="113"/>
      <c r="O38" s="99"/>
      <c r="W38" s="217" t="s">
        <v>4814</v>
      </c>
      <c r="X38" s="217" t="s">
        <v>1086</v>
      </c>
      <c r="Y38" s="113">
        <v>4977171</v>
      </c>
      <c r="Z38" s="217">
        <f t="shared" si="9"/>
        <v>6.1346965173589574</v>
      </c>
      <c r="AA38" s="226" t="s">
        <v>4410</v>
      </c>
      <c r="AB38" s="117">
        <v>529.79999999999995</v>
      </c>
      <c r="AC38" s="217">
        <v>57632</v>
      </c>
      <c r="AD38" s="226">
        <f t="shared" si="8"/>
        <v>9394.4337485843716</v>
      </c>
      <c r="AE38" s="217">
        <f t="shared" si="2"/>
        <v>1.0644601119792749E-4</v>
      </c>
      <c r="AF38" s="99"/>
    </row>
    <row r="39" spans="1:32">
      <c r="J39" s="217"/>
      <c r="K39" s="217"/>
      <c r="L39" s="113"/>
      <c r="M39" s="217"/>
      <c r="N39" s="113"/>
      <c r="O39" s="99"/>
      <c r="W39" s="217" t="s">
        <v>4814</v>
      </c>
      <c r="X39" s="217" t="s">
        <v>1086</v>
      </c>
      <c r="Y39" s="113">
        <v>4977171</v>
      </c>
      <c r="Z39" s="217">
        <f t="shared" si="9"/>
        <v>1.084129920390519</v>
      </c>
      <c r="AA39" s="231" t="s">
        <v>4395</v>
      </c>
      <c r="AB39" s="117">
        <v>5395.9</v>
      </c>
      <c r="AC39" s="217">
        <v>1000</v>
      </c>
      <c r="AD39" s="231">
        <f t="shared" si="8"/>
        <v>922.39867306658766</v>
      </c>
      <c r="AE39" s="217">
        <f t="shared" si="2"/>
        <v>1.0841299203905189E-3</v>
      </c>
      <c r="AF39" s="99"/>
    </row>
    <row r="40" spans="1:32">
      <c r="J40" s="168"/>
      <c r="K40" s="168"/>
      <c r="L40" s="113" t="s">
        <v>25</v>
      </c>
      <c r="M40" s="168"/>
      <c r="N40" s="113"/>
      <c r="O40" s="99"/>
      <c r="W40" s="217" t="s">
        <v>4814</v>
      </c>
      <c r="X40" s="217" t="s">
        <v>1086</v>
      </c>
      <c r="Y40" s="113">
        <v>4977171</v>
      </c>
      <c r="Z40" s="217">
        <f t="shared" si="9"/>
        <v>7.7072195831728516</v>
      </c>
      <c r="AA40" s="226" t="s">
        <v>4391</v>
      </c>
      <c r="AB40" s="117">
        <v>3355.8</v>
      </c>
      <c r="AC40" s="217">
        <v>11431</v>
      </c>
      <c r="AD40" s="226">
        <f t="shared" si="8"/>
        <v>1483.1548364026462</v>
      </c>
      <c r="AE40" s="217">
        <f t="shared" si="2"/>
        <v>6.7423843785957929E-4</v>
      </c>
      <c r="AF40" s="99"/>
    </row>
    <row r="41" spans="1:32">
      <c r="J41" s="168"/>
      <c r="K41" s="168"/>
      <c r="L41" s="168"/>
      <c r="M41" s="168">
        <f>SUM(M2:M40)</f>
        <v>127</v>
      </c>
      <c r="N41" s="113">
        <f>SUM(N2:N40)</f>
        <v>552842373</v>
      </c>
      <c r="O41" s="169">
        <f>N41/(M41-3)</f>
        <v>4458406.2338709673</v>
      </c>
      <c r="W41" s="235" t="s">
        <v>4836</v>
      </c>
      <c r="X41" s="235" t="s">
        <v>4410</v>
      </c>
      <c r="Y41" s="232">
        <v>530.29999999999995</v>
      </c>
      <c r="Z41" s="235">
        <f t="shared" si="9"/>
        <v>24481.99132566472</v>
      </c>
      <c r="AA41" s="235" t="s">
        <v>4395</v>
      </c>
      <c r="AB41" s="235">
        <v>5235</v>
      </c>
      <c r="AC41" s="235">
        <v>2480</v>
      </c>
      <c r="AD41" s="235">
        <f t="shared" si="8"/>
        <v>0.10129894937917859</v>
      </c>
      <c r="AE41" s="235">
        <f t="shared" si="2"/>
        <v>9.8717706958325486</v>
      </c>
      <c r="AF41" s="161"/>
    </row>
    <row r="42" spans="1:32">
      <c r="A42" s="99" t="s">
        <v>180</v>
      </c>
      <c r="B42" s="99" t="s">
        <v>4741</v>
      </c>
      <c r="C42" s="99" t="s">
        <v>4742</v>
      </c>
      <c r="D42" s="99" t="s">
        <v>4743</v>
      </c>
      <c r="E42" s="69" t="s">
        <v>4744</v>
      </c>
      <c r="J42" s="168"/>
      <c r="K42" s="168"/>
      <c r="L42" s="168"/>
      <c r="M42" s="168" t="s">
        <v>6</v>
      </c>
      <c r="N42" s="168"/>
      <c r="O42" s="99"/>
      <c r="P42">
        <f>O44/2</f>
        <v>37328780.5</v>
      </c>
      <c r="Q42">
        <f>O44/15</f>
        <v>4977170.7333333334</v>
      </c>
      <c r="W42" s="217" t="s">
        <v>4852</v>
      </c>
      <c r="X42" s="217" t="s">
        <v>4243</v>
      </c>
      <c r="Y42" s="113">
        <v>185.7</v>
      </c>
      <c r="Z42" s="217">
        <f t="shared" si="9"/>
        <v>9238.0484652665582</v>
      </c>
      <c r="AA42" s="217" t="s">
        <v>4296</v>
      </c>
      <c r="AB42" s="117">
        <v>303.2</v>
      </c>
      <c r="AC42" s="217">
        <v>5658</v>
      </c>
      <c r="AD42" s="217">
        <f t="shared" si="8"/>
        <v>0.61246701846965701</v>
      </c>
      <c r="AE42" s="217">
        <f t="shared" si="2"/>
        <v>1.6327409800753905</v>
      </c>
      <c r="AF42" s="99"/>
    </row>
    <row r="43" spans="1:32">
      <c r="A43" s="99" t="s">
        <v>4681</v>
      </c>
      <c r="B43" s="95">
        <v>4080000</v>
      </c>
      <c r="C43" s="95">
        <v>4200000</v>
      </c>
      <c r="D43" s="95"/>
      <c r="E43" s="95"/>
      <c r="M43" s="113">
        <f>N41/(M41-3)</f>
        <v>4458406.2338709673</v>
      </c>
      <c r="S43" t="s">
        <v>25</v>
      </c>
      <c r="W43" s="236" t="s">
        <v>4857</v>
      </c>
      <c r="X43" s="236" t="s">
        <v>4410</v>
      </c>
      <c r="Y43" s="237">
        <v>538.79999999999995</v>
      </c>
      <c r="Z43" s="236">
        <f t="shared" si="9"/>
        <v>4989.5322939866373</v>
      </c>
      <c r="AA43" s="236" t="s">
        <v>4395</v>
      </c>
      <c r="AB43" s="237">
        <v>5160</v>
      </c>
      <c r="AC43" s="236">
        <v>521</v>
      </c>
      <c r="AD43" s="236">
        <f>Y43/AB43</f>
        <v>0.10441860465116279</v>
      </c>
      <c r="AE43" s="236">
        <f t="shared" si="2"/>
        <v>9.5768374164810695</v>
      </c>
      <c r="AF43" s="238"/>
    </row>
    <row r="44" spans="1:32">
      <c r="A44" s="99" t="s">
        <v>4691</v>
      </c>
      <c r="B44" s="95">
        <v>4100000</v>
      </c>
      <c r="C44" s="95">
        <v>4230000</v>
      </c>
      <c r="D44" s="95"/>
      <c r="E44" s="95"/>
      <c r="I44" s="41"/>
      <c r="M44" s="41" t="s">
        <v>4528</v>
      </c>
      <c r="N44" t="s">
        <v>25</v>
      </c>
      <c r="O44" s="227">
        <v>74657561</v>
      </c>
      <c r="R44" t="s">
        <v>25</v>
      </c>
      <c r="W44" s="217" t="s">
        <v>4868</v>
      </c>
      <c r="X44" s="217" t="s">
        <v>4296</v>
      </c>
      <c r="Y44" s="113">
        <v>299.10000000000002</v>
      </c>
      <c r="Z44" s="217">
        <v>5658</v>
      </c>
      <c r="AA44" s="217" t="s">
        <v>4243</v>
      </c>
      <c r="AB44" s="217">
        <v>182.5</v>
      </c>
      <c r="AC44" s="217">
        <v>9173</v>
      </c>
      <c r="AD44" s="217">
        <f>Y44/AB44</f>
        <v>1.6389041095890413</v>
      </c>
      <c r="AE44" s="217">
        <f t="shared" si="2"/>
        <v>0.61016382480775655</v>
      </c>
      <c r="AF44" s="99" t="s">
        <v>4870</v>
      </c>
    </row>
    <row r="45" spans="1:32">
      <c r="A45" s="99" t="s">
        <v>4695</v>
      </c>
      <c r="B45" s="95">
        <v>4230000</v>
      </c>
      <c r="C45" s="95">
        <v>4330000</v>
      </c>
      <c r="D45" s="95">
        <v>12200</v>
      </c>
      <c r="E45" s="95">
        <v>12350</v>
      </c>
      <c r="W45" s="217" t="s">
        <v>4868</v>
      </c>
      <c r="X45" s="217" t="s">
        <v>4395</v>
      </c>
      <c r="Y45" s="113">
        <v>5149.1000000000004</v>
      </c>
      <c r="Z45" s="217">
        <v>290</v>
      </c>
      <c r="AA45" s="217" t="s">
        <v>4542</v>
      </c>
      <c r="AB45" s="217">
        <v>3933</v>
      </c>
      <c r="AC45" s="217">
        <v>375</v>
      </c>
      <c r="AD45" s="217">
        <f>Y45/AB45</f>
        <v>1.3092041698449022</v>
      </c>
      <c r="AE45" s="217">
        <f t="shared" ref="AE45" si="10">AB45/Y45</f>
        <v>0.76382280398516245</v>
      </c>
      <c r="AF45" s="99" t="s">
        <v>25</v>
      </c>
    </row>
    <row r="46" spans="1:32">
      <c r="A46" s="99" t="s">
        <v>4718</v>
      </c>
      <c r="B46" s="95">
        <v>4270000</v>
      </c>
      <c r="C46" s="95">
        <v>4370000</v>
      </c>
      <c r="D46" s="95"/>
      <c r="E46" s="95"/>
      <c r="W46" s="217" t="s">
        <v>4898</v>
      </c>
      <c r="X46" s="217" t="s">
        <v>4395</v>
      </c>
      <c r="Y46" s="113">
        <v>5399.3</v>
      </c>
      <c r="Z46" s="217">
        <v>2000</v>
      </c>
      <c r="AA46" s="217" t="s">
        <v>4542</v>
      </c>
      <c r="AB46" s="217">
        <v>4049.8</v>
      </c>
      <c r="AC46" s="217">
        <v>2638</v>
      </c>
      <c r="AD46" s="217">
        <f>Y46/AB46</f>
        <v>1.3332263321645512</v>
      </c>
      <c r="AE46" s="217">
        <f t="shared" ref="AE46" si="11">AB46/Y46</f>
        <v>0.75006019298797988</v>
      </c>
      <c r="AF46" s="99"/>
    </row>
    <row r="47" spans="1:32">
      <c r="A47" s="99" t="s">
        <v>4732</v>
      </c>
      <c r="B47" s="95">
        <v>3980000</v>
      </c>
      <c r="C47" s="95">
        <v>4120000</v>
      </c>
      <c r="D47" s="95">
        <v>11450</v>
      </c>
      <c r="E47" s="95">
        <v>11650</v>
      </c>
      <c r="L47">
        <f>140-M41</f>
        <v>13</v>
      </c>
      <c r="M47">
        <f>70-M2-M4-M5-M7-M9-M10-M12-M14-M16-M18-M20-M22-M25-M27-M29-M31-M33-M35</f>
        <v>4</v>
      </c>
      <c r="N47" t="s">
        <v>483</v>
      </c>
      <c r="O47">
        <v>13</v>
      </c>
      <c r="W47" s="217"/>
      <c r="X47" s="217"/>
      <c r="Y47" s="113"/>
      <c r="Z47" s="217"/>
      <c r="AA47" s="217"/>
      <c r="AB47" s="217"/>
      <c r="AC47" s="217"/>
      <c r="AD47" s="217" t="s">
        <v>25</v>
      </c>
      <c r="AE47" s="217"/>
      <c r="AF47" s="99"/>
    </row>
    <row r="48" spans="1:32">
      <c r="A48" s="99" t="s">
        <v>4735</v>
      </c>
      <c r="B48" s="95">
        <v>4120000</v>
      </c>
      <c r="C48" s="95">
        <v>4230000</v>
      </c>
      <c r="D48" s="95">
        <v>11650</v>
      </c>
      <c r="E48" s="95">
        <v>11750</v>
      </c>
      <c r="M48">
        <f>65-M3-M6-M8-M11-M13-M15-M17-M19-M21-M23-M26-M28-M30-M32-M34-M36</f>
        <v>9</v>
      </c>
      <c r="N48" t="s">
        <v>5</v>
      </c>
      <c r="W48" s="217"/>
      <c r="X48" s="217"/>
      <c r="Y48" s="113"/>
      <c r="Z48" s="217"/>
      <c r="AA48" s="217"/>
      <c r="AB48" s="217"/>
      <c r="AC48" s="217"/>
      <c r="AD48" s="217"/>
      <c r="AE48" s="217"/>
      <c r="AF48" s="99"/>
    </row>
    <row r="49" spans="1:32">
      <c r="A49" s="99" t="s">
        <v>4739</v>
      </c>
      <c r="B49" s="95">
        <v>4170000</v>
      </c>
      <c r="C49" s="95">
        <v>4280000</v>
      </c>
      <c r="D49" s="95">
        <v>11750</v>
      </c>
      <c r="E49" s="95">
        <v>11900</v>
      </c>
      <c r="W49" s="168"/>
      <c r="X49" s="168"/>
      <c r="Y49" s="113"/>
      <c r="Z49" s="168"/>
      <c r="AA49" s="168"/>
      <c r="AB49" s="113"/>
      <c r="AC49" s="168"/>
      <c r="AD49" s="19"/>
      <c r="AE49" s="168"/>
      <c r="AF49" s="99"/>
    </row>
    <row r="50" spans="1:32">
      <c r="A50" s="99" t="s">
        <v>4745</v>
      </c>
      <c r="B50" s="95">
        <v>4130000</v>
      </c>
      <c r="C50" s="95">
        <v>4260000</v>
      </c>
      <c r="D50" s="95">
        <v>11850</v>
      </c>
      <c r="E50" s="95">
        <v>11950</v>
      </c>
      <c r="Z50" t="s">
        <v>25</v>
      </c>
      <c r="AC50" t="s">
        <v>25</v>
      </c>
    </row>
    <row r="51" spans="1:32">
      <c r="A51" s="99" t="s">
        <v>4747</v>
      </c>
      <c r="B51" s="95">
        <v>4100000</v>
      </c>
      <c r="C51" s="95">
        <v>4220000</v>
      </c>
      <c r="D51" s="95">
        <v>11800</v>
      </c>
      <c r="E51" s="95">
        <v>11980</v>
      </c>
      <c r="Z51" t="s">
        <v>25</v>
      </c>
      <c r="AA51" t="s">
        <v>25</v>
      </c>
      <c r="AB51" t="s">
        <v>25</v>
      </c>
      <c r="AC51">
        <f>AD43/AD41</f>
        <v>1.0307965214950732</v>
      </c>
      <c r="AD51" t="s">
        <v>25</v>
      </c>
    </row>
    <row r="52" spans="1:32">
      <c r="A52" s="99" t="s">
        <v>4749</v>
      </c>
      <c r="B52" s="95">
        <v>4220000</v>
      </c>
      <c r="C52" s="95">
        <v>4320000</v>
      </c>
      <c r="D52" s="95">
        <v>11900</v>
      </c>
      <c r="E52" s="95">
        <v>12050</v>
      </c>
      <c r="K52" s="168" t="s">
        <v>4538</v>
      </c>
      <c r="L52" s="168" t="s">
        <v>1086</v>
      </c>
      <c r="M52" s="168" t="s">
        <v>4243</v>
      </c>
      <c r="N52" s="168" t="s">
        <v>4555</v>
      </c>
      <c r="O52" s="168"/>
      <c r="W52" s="96"/>
      <c r="X52" s="96"/>
      <c r="Y52" s="96"/>
      <c r="Z52" s="96"/>
      <c r="AA52" s="96"/>
      <c r="AB52" s="96"/>
      <c r="AC52" s="96"/>
      <c r="AD52" s="96"/>
      <c r="AF52" t="s">
        <v>25</v>
      </c>
    </row>
    <row r="53" spans="1:32">
      <c r="A53" s="99" t="s">
        <v>4752</v>
      </c>
      <c r="B53" s="95">
        <v>4240000</v>
      </c>
      <c r="C53" s="95">
        <v>4340000</v>
      </c>
      <c r="D53" s="95">
        <v>12100</v>
      </c>
      <c r="E53" s="95">
        <v>12250</v>
      </c>
      <c r="K53" s="168" t="s">
        <v>4527</v>
      </c>
      <c r="L53" s="168">
        <v>3390000</v>
      </c>
      <c r="M53" s="168">
        <v>161.4</v>
      </c>
      <c r="N53" s="168">
        <f>L53/M53</f>
        <v>21003.717472118959</v>
      </c>
      <c r="O53" s="168"/>
      <c r="W53" s="96"/>
      <c r="X53" s="96"/>
      <c r="Y53" s="96"/>
      <c r="Z53" s="96"/>
      <c r="AA53" s="96"/>
      <c r="AB53" s="96"/>
      <c r="AC53" s="96" t="s">
        <v>25</v>
      </c>
      <c r="AD53" s="96"/>
    </row>
    <row r="54" spans="1:32">
      <c r="A54" s="99" t="s">
        <v>4763</v>
      </c>
      <c r="B54" s="95">
        <v>4230000</v>
      </c>
      <c r="C54" s="95">
        <v>4370000</v>
      </c>
      <c r="D54" s="95">
        <v>12100</v>
      </c>
      <c r="E54" s="95">
        <v>12250</v>
      </c>
      <c r="K54" s="168"/>
      <c r="L54" s="168"/>
      <c r="M54" s="168"/>
      <c r="N54" s="168"/>
      <c r="O54" s="168"/>
      <c r="W54" s="96"/>
      <c r="X54" s="96"/>
      <c r="Y54" s="96"/>
      <c r="Z54" s="96"/>
      <c r="AA54" s="96"/>
      <c r="AB54" s="96" t="s">
        <v>25</v>
      </c>
      <c r="AC54" s="96">
        <f>AD46/AD45</f>
        <v>1.0183486753807811</v>
      </c>
      <c r="AD54" s="96"/>
    </row>
    <row r="55" spans="1:32">
      <c r="A55" s="99" t="s">
        <v>3684</v>
      </c>
      <c r="B55" s="95">
        <v>4300000</v>
      </c>
      <c r="C55" s="95">
        <v>4420000</v>
      </c>
      <c r="D55" s="95">
        <v>12300</v>
      </c>
      <c r="E55" s="95">
        <v>12400</v>
      </c>
      <c r="K55" s="168"/>
      <c r="L55" s="168"/>
      <c r="M55" s="168"/>
      <c r="N55" s="168"/>
      <c r="O55" s="168"/>
      <c r="W55" s="96"/>
      <c r="X55" s="96"/>
      <c r="Y55" s="96"/>
      <c r="Z55" s="96"/>
      <c r="AA55" s="96"/>
      <c r="AB55" s="96"/>
      <c r="AC55" s="96"/>
      <c r="AD55" s="96"/>
    </row>
    <row r="56" spans="1:32">
      <c r="A56" s="99" t="s">
        <v>4776</v>
      </c>
      <c r="B56" s="95">
        <v>4370000</v>
      </c>
      <c r="C56" s="95">
        <v>4480000</v>
      </c>
      <c r="D56" s="95">
        <v>12600</v>
      </c>
      <c r="E56" s="95">
        <v>12700</v>
      </c>
      <c r="K56" s="168"/>
      <c r="L56" s="168"/>
      <c r="M56" s="168"/>
      <c r="N56" s="168"/>
      <c r="O56" s="168"/>
      <c r="W56" s="96"/>
      <c r="X56" s="96"/>
      <c r="Y56" s="96"/>
      <c r="Z56" s="96"/>
      <c r="AA56" s="96"/>
      <c r="AB56" s="96"/>
      <c r="AC56" s="96"/>
      <c r="AD56" s="96"/>
    </row>
    <row r="57" spans="1:32">
      <c r="A57" s="99" t="s">
        <v>4786</v>
      </c>
      <c r="B57" s="95">
        <v>4470000</v>
      </c>
      <c r="C57" s="95">
        <v>4580000</v>
      </c>
      <c r="D57" s="95">
        <v>13050</v>
      </c>
      <c r="E57" s="95">
        <v>13200</v>
      </c>
      <c r="K57" s="168"/>
      <c r="L57" s="168"/>
      <c r="M57" s="168"/>
      <c r="N57" s="168"/>
      <c r="O57" s="168"/>
      <c r="W57" s="96"/>
      <c r="X57" s="96"/>
      <c r="Y57" s="96"/>
      <c r="Z57" s="96"/>
      <c r="AA57" s="96"/>
      <c r="AB57" s="96"/>
      <c r="AC57" s="96"/>
      <c r="AD57" s="96"/>
    </row>
    <row r="58" spans="1:32">
      <c r="A58" s="99" t="s">
        <v>4795</v>
      </c>
      <c r="B58" s="95">
        <v>4600000</v>
      </c>
      <c r="C58" s="95">
        <v>4720000</v>
      </c>
      <c r="D58" s="95"/>
      <c r="E58" s="95"/>
      <c r="K58" s="168"/>
      <c r="L58" s="168"/>
      <c r="M58" s="168"/>
      <c r="N58" s="168"/>
      <c r="O58" s="168"/>
      <c r="AA58" s="96"/>
      <c r="AB58" s="96"/>
      <c r="AC58" s="96"/>
      <c r="AD58" s="96"/>
    </row>
    <row r="59" spans="1:32">
      <c r="A59" s="99" t="s">
        <v>4802</v>
      </c>
      <c r="B59" s="95">
        <v>4530000</v>
      </c>
      <c r="C59" s="95">
        <v>4680000</v>
      </c>
      <c r="D59" s="95">
        <v>13000</v>
      </c>
      <c r="E59" s="95">
        <v>13150</v>
      </c>
      <c r="K59" s="168"/>
      <c r="L59" s="168"/>
      <c r="M59" s="168"/>
      <c r="N59" s="168"/>
      <c r="O59" s="168"/>
      <c r="AA59" s="96"/>
      <c r="AB59" s="96"/>
      <c r="AC59" s="96"/>
      <c r="AD59" s="96" t="s">
        <v>25</v>
      </c>
    </row>
    <row r="60" spans="1:32">
      <c r="A60" s="99" t="s">
        <v>4804</v>
      </c>
      <c r="B60" s="95">
        <v>4750000</v>
      </c>
      <c r="C60" s="95">
        <v>4900000</v>
      </c>
      <c r="D60" s="95">
        <v>13750</v>
      </c>
      <c r="E60" s="95">
        <v>13900</v>
      </c>
      <c r="K60" s="168"/>
      <c r="L60" s="168"/>
      <c r="M60" s="168"/>
      <c r="N60" s="168"/>
      <c r="O60" s="168"/>
      <c r="AA60" s="96"/>
      <c r="AB60" s="96"/>
      <c r="AC60" s="96" t="s">
        <v>25</v>
      </c>
      <c r="AD60" s="96"/>
    </row>
    <row r="61" spans="1:32">
      <c r="A61" s="99" t="s">
        <v>4814</v>
      </c>
      <c r="B61" s="95">
        <v>4700000</v>
      </c>
      <c r="C61" s="95">
        <v>4850000</v>
      </c>
      <c r="D61" s="95">
        <v>13650</v>
      </c>
      <c r="E61" s="95">
        <v>13800</v>
      </c>
      <c r="AA61" s="96"/>
      <c r="AB61" s="96"/>
      <c r="AC61" s="96"/>
      <c r="AD61" s="96"/>
    </row>
    <row r="62" spans="1:32">
      <c r="A62" s="99" t="s">
        <v>4824</v>
      </c>
      <c r="B62" s="95">
        <v>4550000</v>
      </c>
      <c r="C62" s="95">
        <v>4750000</v>
      </c>
      <c r="D62" s="95">
        <v>13400</v>
      </c>
      <c r="E62" s="95">
        <v>13500</v>
      </c>
      <c r="W62" s="96"/>
      <c r="X62" s="96"/>
      <c r="Y62" s="96"/>
      <c r="Z62" s="96"/>
      <c r="AA62" s="96"/>
      <c r="AB62" s="96"/>
      <c r="AC62" s="96"/>
      <c r="AD62" s="96"/>
    </row>
    <row r="63" spans="1:32">
      <c r="A63" s="99" t="s">
        <v>4836</v>
      </c>
      <c r="B63" s="95">
        <v>4580000</v>
      </c>
      <c r="C63" s="95">
        <v>4750000</v>
      </c>
      <c r="D63" s="95">
        <v>13350</v>
      </c>
      <c r="E63" s="95">
        <v>13500</v>
      </c>
      <c r="I63" s="217" t="s">
        <v>8</v>
      </c>
      <c r="J63" s="217" t="s">
        <v>4817</v>
      </c>
      <c r="K63" s="217" t="s">
        <v>180</v>
      </c>
      <c r="L63" s="230" t="s">
        <v>4815</v>
      </c>
      <c r="M63" s="230" t="s">
        <v>4816</v>
      </c>
      <c r="N63" s="217" t="s">
        <v>6</v>
      </c>
      <c r="O63" s="217" t="s">
        <v>4818</v>
      </c>
      <c r="P63" s="217" t="s">
        <v>4838</v>
      </c>
      <c r="W63" s="96"/>
      <c r="X63" s="96"/>
      <c r="Y63" s="96"/>
      <c r="Z63" s="96" t="s">
        <v>4669</v>
      </c>
      <c r="AA63" s="96"/>
      <c r="AB63" s="96"/>
      <c r="AC63" s="96"/>
      <c r="AD63" s="96"/>
    </row>
    <row r="64" spans="1:32">
      <c r="A64" s="99" t="s">
        <v>4847</v>
      </c>
      <c r="B64" s="95">
        <v>4500000</v>
      </c>
      <c r="C64" s="95">
        <v>4650000</v>
      </c>
      <c r="D64" s="95">
        <v>13250</v>
      </c>
      <c r="E64" s="95">
        <v>13450</v>
      </c>
      <c r="G64" t="s">
        <v>25</v>
      </c>
      <c r="I64" s="217"/>
      <c r="J64" s="217"/>
      <c r="K64" s="217" t="s">
        <v>4749</v>
      </c>
      <c r="L64" s="84">
        <v>535989412</v>
      </c>
      <c r="M64" s="84"/>
      <c r="N64" s="217"/>
      <c r="O64" s="217"/>
      <c r="P64" s="217"/>
      <c r="W64" s="96"/>
      <c r="X64" s="96"/>
      <c r="Y64" s="96"/>
      <c r="Z64" s="96" t="s">
        <v>4670</v>
      </c>
      <c r="AA64" s="211">
        <v>35441</v>
      </c>
      <c r="AB64" s="96"/>
      <c r="AC64" s="96"/>
      <c r="AD64" s="96"/>
    </row>
    <row r="65" spans="1:27" ht="120">
      <c r="A65" s="99" t="s">
        <v>4852</v>
      </c>
      <c r="B65" s="95">
        <v>4620000</v>
      </c>
      <c r="C65" s="95">
        <v>4770000</v>
      </c>
      <c r="D65" s="95">
        <v>13600</v>
      </c>
      <c r="E65" s="95">
        <v>13700</v>
      </c>
      <c r="I65" s="217"/>
      <c r="J65" s="113">
        <f>L65-L64</f>
        <v>12939932</v>
      </c>
      <c r="K65" s="217" t="s">
        <v>4786</v>
      </c>
      <c r="L65" s="84">
        <v>548929344</v>
      </c>
      <c r="M65" s="84"/>
      <c r="N65" s="217"/>
      <c r="O65" s="217"/>
      <c r="P65" s="217"/>
      <c r="W65" s="96"/>
      <c r="X65" s="22" t="s">
        <v>4673</v>
      </c>
      <c r="Y65" s="22" t="s">
        <v>4672</v>
      </c>
      <c r="Z65" s="22" t="s">
        <v>4671</v>
      </c>
      <c r="AA65" s="22" t="s">
        <v>4674</v>
      </c>
    </row>
    <row r="66" spans="1:27">
      <c r="A66" s="99" t="s">
        <v>4856</v>
      </c>
      <c r="B66" s="95">
        <v>4400000</v>
      </c>
      <c r="C66" s="95">
        <v>4600000</v>
      </c>
      <c r="D66" s="95">
        <v>13200</v>
      </c>
      <c r="E66" s="95">
        <v>13400</v>
      </c>
      <c r="F66" t="s">
        <v>25</v>
      </c>
      <c r="I66" s="217"/>
      <c r="J66" s="113">
        <f t="shared" ref="J66:J90" si="12">L66-L65</f>
        <v>11531981</v>
      </c>
      <c r="K66" s="217" t="s">
        <v>4795</v>
      </c>
      <c r="L66" s="84">
        <v>560461325</v>
      </c>
      <c r="M66" s="84"/>
      <c r="N66" s="217"/>
      <c r="O66" s="217"/>
      <c r="P66" s="217"/>
    </row>
    <row r="67" spans="1:27">
      <c r="A67" s="99" t="s">
        <v>4857</v>
      </c>
      <c r="B67" s="95">
        <v>4250000</v>
      </c>
      <c r="C67" s="95">
        <v>4450000</v>
      </c>
      <c r="D67" s="95">
        <v>12750</v>
      </c>
      <c r="E67" s="95">
        <v>12900</v>
      </c>
      <c r="I67" s="217"/>
      <c r="J67" s="113">
        <f t="shared" si="12"/>
        <v>17387769</v>
      </c>
      <c r="K67" s="217" t="s">
        <v>4802</v>
      </c>
      <c r="L67" s="84">
        <v>577849094</v>
      </c>
      <c r="M67" s="84"/>
      <c r="N67" s="217"/>
      <c r="O67" s="217"/>
      <c r="P67" s="217"/>
    </row>
    <row r="68" spans="1:27">
      <c r="A68" s="99" t="s">
        <v>4868</v>
      </c>
      <c r="B68" s="95">
        <v>4380000</v>
      </c>
      <c r="C68" s="95">
        <v>4520000</v>
      </c>
      <c r="D68" s="95">
        <v>12750</v>
      </c>
      <c r="E68" s="95">
        <v>12900</v>
      </c>
      <c r="I68" s="217"/>
      <c r="J68" s="113">
        <f t="shared" si="12"/>
        <v>11024486</v>
      </c>
      <c r="K68" s="217" t="s">
        <v>4804</v>
      </c>
      <c r="L68" s="84">
        <v>588873580</v>
      </c>
      <c r="M68" s="84">
        <v>250255923</v>
      </c>
      <c r="N68" s="113">
        <f>L68+M68</f>
        <v>839129503</v>
      </c>
      <c r="O68" s="113">
        <f>M68-M67</f>
        <v>250255923</v>
      </c>
      <c r="P68" s="113">
        <f>N68-N67</f>
        <v>839129503</v>
      </c>
      <c r="Q68" t="s">
        <v>25</v>
      </c>
    </row>
    <row r="69" spans="1:27">
      <c r="A69" s="99" t="s">
        <v>4872</v>
      </c>
      <c r="B69" s="95">
        <v>4500000</v>
      </c>
      <c r="C69" s="95">
        <v>4630000</v>
      </c>
      <c r="D69" s="95">
        <v>13200</v>
      </c>
      <c r="E69" s="95">
        <v>13400</v>
      </c>
      <c r="I69" s="217"/>
      <c r="J69" s="113">
        <f t="shared" si="12"/>
        <v>-8942851</v>
      </c>
      <c r="K69" s="217" t="s">
        <v>4814</v>
      </c>
      <c r="L69" s="234">
        <v>579930729</v>
      </c>
      <c r="M69" s="84">
        <v>247714729</v>
      </c>
      <c r="N69" s="113">
        <f t="shared" ref="N69:N90" si="13">L69+M69</f>
        <v>827645458</v>
      </c>
      <c r="O69" s="113">
        <f t="shared" ref="O69:O90" si="14">M69-M68</f>
        <v>-2541194</v>
      </c>
      <c r="P69" s="113">
        <f t="shared" ref="P69:P90" si="15">N69-N68</f>
        <v>-11484045</v>
      </c>
    </row>
    <row r="70" spans="1:27">
      <c r="A70" s="99" t="s">
        <v>974</v>
      </c>
      <c r="B70" s="95">
        <v>4480000</v>
      </c>
      <c r="C70" s="95">
        <v>4620000</v>
      </c>
      <c r="D70" s="95">
        <v>13100</v>
      </c>
      <c r="E70" s="95">
        <v>13250</v>
      </c>
      <c r="I70" s="5" t="s">
        <v>4835</v>
      </c>
      <c r="J70" s="35">
        <f t="shared" si="12"/>
        <v>45893629</v>
      </c>
      <c r="K70" s="5" t="s">
        <v>4824</v>
      </c>
      <c r="L70" s="241">
        <v>625824358</v>
      </c>
      <c r="M70" s="241">
        <v>243028777</v>
      </c>
      <c r="N70" s="35">
        <f t="shared" si="13"/>
        <v>868853135</v>
      </c>
      <c r="O70" s="35">
        <f t="shared" si="14"/>
        <v>-4685952</v>
      </c>
      <c r="P70" s="35">
        <f>N70-N69-50000000</f>
        <v>-8792323</v>
      </c>
    </row>
    <row r="71" spans="1:27">
      <c r="A71" s="99" t="s">
        <v>4898</v>
      </c>
      <c r="B71" s="95">
        <v>4480000</v>
      </c>
      <c r="C71" s="95">
        <v>4600000</v>
      </c>
      <c r="D71" s="95">
        <v>13050</v>
      </c>
      <c r="E71" s="95">
        <v>13200</v>
      </c>
      <c r="I71" s="217"/>
      <c r="J71" s="113">
        <f t="shared" si="12"/>
        <v>3462014</v>
      </c>
      <c r="K71" s="217" t="s">
        <v>4836</v>
      </c>
      <c r="L71" s="84">
        <v>629286372</v>
      </c>
      <c r="M71" s="84">
        <v>246690884</v>
      </c>
      <c r="N71" s="113">
        <f t="shared" si="13"/>
        <v>875977256</v>
      </c>
      <c r="O71" s="113">
        <f t="shared" si="14"/>
        <v>3662107</v>
      </c>
      <c r="P71" s="113">
        <f t="shared" si="15"/>
        <v>7124121</v>
      </c>
    </row>
    <row r="72" spans="1:27">
      <c r="A72" s="99" t="s">
        <v>4902</v>
      </c>
      <c r="B72" s="95">
        <v>4400000</v>
      </c>
      <c r="C72" s="95">
        <v>4550000</v>
      </c>
      <c r="D72" s="95">
        <v>12850</v>
      </c>
      <c r="E72" s="95">
        <v>13000</v>
      </c>
      <c r="I72" s="217"/>
      <c r="J72" s="113">
        <f t="shared" si="12"/>
        <v>-2687296</v>
      </c>
      <c r="K72" s="217" t="s">
        <v>4852</v>
      </c>
      <c r="L72" s="84">
        <v>626599076</v>
      </c>
      <c r="M72" s="84">
        <v>244530128</v>
      </c>
      <c r="N72" s="113">
        <f t="shared" si="13"/>
        <v>871129204</v>
      </c>
      <c r="O72" s="113">
        <f t="shared" si="14"/>
        <v>-2160756</v>
      </c>
      <c r="P72" s="113">
        <f t="shared" si="15"/>
        <v>-4848052</v>
      </c>
    </row>
    <row r="73" spans="1:27">
      <c r="A73" s="99" t="s">
        <v>4905</v>
      </c>
      <c r="B73" s="95">
        <v>4400000</v>
      </c>
      <c r="C73" s="95">
        <v>4520000</v>
      </c>
      <c r="D73" s="95">
        <v>12800</v>
      </c>
      <c r="E73" s="95">
        <v>12950</v>
      </c>
      <c r="I73" s="217"/>
      <c r="J73" s="113">
        <f t="shared" si="12"/>
        <v>-6009466</v>
      </c>
      <c r="K73" s="217" t="s">
        <v>4856</v>
      </c>
      <c r="L73" s="84">
        <v>620589610</v>
      </c>
      <c r="M73" s="84">
        <v>242967684</v>
      </c>
      <c r="N73" s="113">
        <f t="shared" si="13"/>
        <v>863557294</v>
      </c>
      <c r="O73" s="113">
        <f t="shared" si="14"/>
        <v>-1562444</v>
      </c>
      <c r="P73" s="113">
        <f t="shared" si="15"/>
        <v>-7571910</v>
      </c>
    </row>
    <row r="74" spans="1:27">
      <c r="A74" s="99" t="s">
        <v>4914</v>
      </c>
      <c r="B74" s="95">
        <v>4460000</v>
      </c>
      <c r="C74" s="95">
        <v>4580000</v>
      </c>
      <c r="D74" s="95">
        <v>12850</v>
      </c>
      <c r="E74" s="95">
        <v>13000</v>
      </c>
      <c r="I74" s="217"/>
      <c r="J74" s="113">
        <f t="shared" si="12"/>
        <v>-1273071</v>
      </c>
      <c r="K74" s="217" t="s">
        <v>4857</v>
      </c>
      <c r="L74" s="84">
        <v>619316539</v>
      </c>
      <c r="M74" s="84">
        <v>242985726</v>
      </c>
      <c r="N74" s="113">
        <f t="shared" si="13"/>
        <v>862302265</v>
      </c>
      <c r="O74" s="113">
        <f t="shared" si="14"/>
        <v>18042</v>
      </c>
      <c r="P74" s="113">
        <f t="shared" si="15"/>
        <v>-1255029</v>
      </c>
    </row>
    <row r="75" spans="1:27">
      <c r="A75" s="99" t="s">
        <v>4937</v>
      </c>
      <c r="B75" s="95">
        <v>4500000</v>
      </c>
      <c r="C75" s="95">
        <v>4620000</v>
      </c>
      <c r="D75" s="95">
        <v>13000</v>
      </c>
      <c r="E75" s="95">
        <v>13200</v>
      </c>
      <c r="I75" s="217"/>
      <c r="J75" s="113">
        <f t="shared" si="12"/>
        <v>112274</v>
      </c>
      <c r="K75" s="217" t="s">
        <v>4868</v>
      </c>
      <c r="L75" s="84">
        <v>619428813</v>
      </c>
      <c r="M75" s="84">
        <v>242060147</v>
      </c>
      <c r="N75" s="113">
        <f t="shared" si="13"/>
        <v>861488960</v>
      </c>
      <c r="O75" s="113">
        <f t="shared" si="14"/>
        <v>-925579</v>
      </c>
      <c r="P75" s="113">
        <f t="shared" si="15"/>
        <v>-813305</v>
      </c>
    </row>
    <row r="76" spans="1:27">
      <c r="A76" s="99"/>
      <c r="B76" s="95"/>
      <c r="C76" s="95"/>
      <c r="D76" s="95"/>
      <c r="E76" s="95"/>
      <c r="I76" s="217"/>
      <c r="J76" s="113">
        <f t="shared" si="12"/>
        <v>6567221</v>
      </c>
      <c r="K76" s="217" t="s">
        <v>4872</v>
      </c>
      <c r="L76" s="84">
        <v>625996034</v>
      </c>
      <c r="M76" s="84">
        <v>242597875</v>
      </c>
      <c r="N76" s="113">
        <f t="shared" si="13"/>
        <v>868593909</v>
      </c>
      <c r="O76" s="113">
        <f t="shared" si="14"/>
        <v>537728</v>
      </c>
      <c r="P76" s="113">
        <f t="shared" si="15"/>
        <v>7104949</v>
      </c>
    </row>
    <row r="77" spans="1:27">
      <c r="A77" s="99"/>
      <c r="B77" s="95"/>
      <c r="C77" s="95"/>
      <c r="D77" s="95"/>
      <c r="E77" s="95"/>
      <c r="I77" s="217"/>
      <c r="J77" s="113">
        <f t="shared" si="12"/>
        <v>4477051</v>
      </c>
      <c r="K77" s="217" t="s">
        <v>974</v>
      </c>
      <c r="L77" s="84">
        <v>630473085</v>
      </c>
      <c r="M77" s="84">
        <v>243884962</v>
      </c>
      <c r="N77" s="113">
        <f t="shared" si="13"/>
        <v>874358047</v>
      </c>
      <c r="O77" s="113">
        <f t="shared" si="14"/>
        <v>1287087</v>
      </c>
      <c r="P77" s="113">
        <f t="shared" si="15"/>
        <v>5764138</v>
      </c>
    </row>
    <row r="78" spans="1:27">
      <c r="A78" s="99"/>
      <c r="B78" s="95"/>
      <c r="C78" s="95"/>
      <c r="D78" s="95"/>
      <c r="E78" s="95"/>
      <c r="F78" t="s">
        <v>25</v>
      </c>
      <c r="I78" s="217"/>
      <c r="J78" s="113">
        <f t="shared" si="12"/>
        <v>6046556</v>
      </c>
      <c r="K78" s="217" t="s">
        <v>4898</v>
      </c>
      <c r="L78" s="84">
        <v>636519641</v>
      </c>
      <c r="M78" s="84">
        <v>248242879</v>
      </c>
      <c r="N78" s="113">
        <f t="shared" si="13"/>
        <v>884762520</v>
      </c>
      <c r="O78" s="113">
        <f t="shared" si="14"/>
        <v>4357917</v>
      </c>
      <c r="P78" s="113">
        <f t="shared" si="15"/>
        <v>10404473</v>
      </c>
    </row>
    <row r="79" spans="1:27">
      <c r="A79" s="99"/>
      <c r="B79" s="95"/>
      <c r="C79" s="95"/>
      <c r="D79" s="95"/>
      <c r="E79" s="95"/>
      <c r="I79" s="217"/>
      <c r="J79" s="113">
        <f t="shared" si="12"/>
        <v>6885870</v>
      </c>
      <c r="K79" s="217" t="s">
        <v>4902</v>
      </c>
      <c r="L79" s="84">
        <v>643405511</v>
      </c>
      <c r="M79" s="84">
        <v>252682386</v>
      </c>
      <c r="N79" s="113">
        <f t="shared" si="13"/>
        <v>896087897</v>
      </c>
      <c r="O79" s="113">
        <f t="shared" si="14"/>
        <v>4439507</v>
      </c>
      <c r="P79" s="113">
        <f t="shared" si="15"/>
        <v>11325377</v>
      </c>
    </row>
    <row r="80" spans="1:27">
      <c r="A80" s="99"/>
      <c r="B80" s="95"/>
      <c r="C80" s="95"/>
      <c r="D80" s="95"/>
      <c r="E80" s="95"/>
      <c r="G80" t="s">
        <v>25</v>
      </c>
      <c r="I80" s="217"/>
      <c r="J80" s="113">
        <f t="shared" si="12"/>
        <v>-1984018</v>
      </c>
      <c r="K80" s="217" t="s">
        <v>4905</v>
      </c>
      <c r="L80" s="84">
        <v>641421493</v>
      </c>
      <c r="M80" s="84">
        <v>250864833</v>
      </c>
      <c r="N80" s="113">
        <f t="shared" si="13"/>
        <v>892286326</v>
      </c>
      <c r="O80" s="113">
        <f t="shared" si="14"/>
        <v>-1817553</v>
      </c>
      <c r="P80" s="113">
        <f t="shared" si="15"/>
        <v>-3801571</v>
      </c>
    </row>
    <row r="81" spans="1:16">
      <c r="A81" s="99"/>
      <c r="B81" s="95"/>
      <c r="C81" s="95"/>
      <c r="D81" s="95"/>
      <c r="E81" s="95"/>
      <c r="I81" s="217"/>
      <c r="J81" s="113">
        <f t="shared" si="12"/>
        <v>6117877</v>
      </c>
      <c r="K81" s="217" t="s">
        <v>4914</v>
      </c>
      <c r="L81" s="84">
        <v>647539370</v>
      </c>
      <c r="M81" s="84">
        <v>254691103</v>
      </c>
      <c r="N81" s="113">
        <f t="shared" si="13"/>
        <v>902230473</v>
      </c>
      <c r="O81" s="113">
        <f t="shared" si="14"/>
        <v>3826270</v>
      </c>
      <c r="P81" s="113">
        <f t="shared" si="15"/>
        <v>9944147</v>
      </c>
    </row>
    <row r="82" spans="1:16" ht="30">
      <c r="I82" s="247" t="s">
        <v>4944</v>
      </c>
      <c r="J82" s="86">
        <f t="shared" si="12"/>
        <v>8860702</v>
      </c>
      <c r="K82" s="192" t="s">
        <v>4937</v>
      </c>
      <c r="L82" s="246">
        <v>656400072</v>
      </c>
      <c r="M82" s="246">
        <v>260846052</v>
      </c>
      <c r="N82" s="86">
        <f t="shared" si="13"/>
        <v>917246124</v>
      </c>
      <c r="O82" s="86">
        <f t="shared" si="14"/>
        <v>6154949</v>
      </c>
      <c r="P82" s="86">
        <f t="shared" si="15"/>
        <v>15015651</v>
      </c>
    </row>
    <row r="83" spans="1:16">
      <c r="I83" s="217"/>
      <c r="J83" s="113">
        <f t="shared" si="12"/>
        <v>-656400072</v>
      </c>
      <c r="K83" s="217"/>
      <c r="L83" s="84"/>
      <c r="M83" s="84"/>
      <c r="N83" s="113">
        <f t="shared" si="13"/>
        <v>0</v>
      </c>
      <c r="O83" s="113">
        <f t="shared" si="14"/>
        <v>-260846052</v>
      </c>
      <c r="P83" s="113">
        <f t="shared" si="15"/>
        <v>-917246124</v>
      </c>
    </row>
    <row r="84" spans="1:16">
      <c r="D84" s="114">
        <f>B75-B47+L19</f>
        <v>4811628</v>
      </c>
      <c r="F84" t="s">
        <v>25</v>
      </c>
      <c r="I84" s="217"/>
      <c r="J84" s="113">
        <f t="shared" si="12"/>
        <v>0</v>
      </c>
      <c r="K84" s="217"/>
      <c r="L84" s="84"/>
      <c r="M84" s="84"/>
      <c r="N84" s="113">
        <f t="shared" si="13"/>
        <v>0</v>
      </c>
      <c r="O84" s="113">
        <f t="shared" si="14"/>
        <v>0</v>
      </c>
      <c r="P84" s="113">
        <f t="shared" si="15"/>
        <v>0</v>
      </c>
    </row>
    <row r="85" spans="1:16">
      <c r="B85" t="s">
        <v>25</v>
      </c>
      <c r="I85" s="217"/>
      <c r="J85" s="113">
        <f t="shared" si="12"/>
        <v>0</v>
      </c>
      <c r="K85" s="217"/>
      <c r="L85" s="84"/>
      <c r="M85" s="84"/>
      <c r="N85" s="113">
        <f t="shared" si="13"/>
        <v>0</v>
      </c>
      <c r="O85" s="113">
        <f t="shared" si="14"/>
        <v>0</v>
      </c>
      <c r="P85" s="113">
        <f t="shared" si="15"/>
        <v>0</v>
      </c>
    </row>
    <row r="86" spans="1:16">
      <c r="I86" s="217"/>
      <c r="J86" s="113">
        <f t="shared" si="12"/>
        <v>0</v>
      </c>
      <c r="K86" s="217"/>
      <c r="L86" s="84"/>
      <c r="M86" s="84"/>
      <c r="N86" s="113">
        <f t="shared" si="13"/>
        <v>0</v>
      </c>
      <c r="O86" s="113">
        <f t="shared" si="14"/>
        <v>0</v>
      </c>
      <c r="P86" s="113">
        <f t="shared" si="15"/>
        <v>0</v>
      </c>
    </row>
    <row r="87" spans="1:16">
      <c r="D87" t="s">
        <v>25</v>
      </c>
      <c r="E87" t="s">
        <v>25</v>
      </c>
      <c r="I87" s="217"/>
      <c r="J87" s="113">
        <f t="shared" si="12"/>
        <v>0</v>
      </c>
      <c r="K87" s="217"/>
      <c r="L87" s="84"/>
      <c r="M87" s="84"/>
      <c r="N87" s="113">
        <f t="shared" si="13"/>
        <v>0</v>
      </c>
      <c r="O87" s="113">
        <f t="shared" si="14"/>
        <v>0</v>
      </c>
      <c r="P87" s="113">
        <f t="shared" si="15"/>
        <v>0</v>
      </c>
    </row>
    <row r="88" spans="1:16">
      <c r="I88" s="217" t="s">
        <v>25</v>
      </c>
      <c r="J88" s="113">
        <f t="shared" si="12"/>
        <v>0</v>
      </c>
      <c r="K88" s="217"/>
      <c r="L88" s="84"/>
      <c r="M88" s="84"/>
      <c r="N88" s="113">
        <f t="shared" si="13"/>
        <v>0</v>
      </c>
      <c r="O88" s="113">
        <f t="shared" si="14"/>
        <v>0</v>
      </c>
      <c r="P88" s="113">
        <f t="shared" si="15"/>
        <v>0</v>
      </c>
    </row>
    <row r="89" spans="1:16">
      <c r="I89" s="217"/>
      <c r="J89" s="113">
        <f t="shared" si="12"/>
        <v>0</v>
      </c>
      <c r="K89" s="217"/>
      <c r="L89" s="84"/>
      <c r="M89" s="84"/>
      <c r="N89" s="113">
        <f t="shared" si="13"/>
        <v>0</v>
      </c>
      <c r="O89" s="113">
        <f t="shared" si="14"/>
        <v>0</v>
      </c>
      <c r="P89" s="113">
        <f t="shared" si="15"/>
        <v>0</v>
      </c>
    </row>
    <row r="90" spans="1:16">
      <c r="I90" s="217"/>
      <c r="J90" s="113">
        <f t="shared" si="12"/>
        <v>0</v>
      </c>
      <c r="K90" s="217"/>
      <c r="L90" s="84"/>
      <c r="M90" s="84"/>
      <c r="N90" s="113">
        <f t="shared" si="13"/>
        <v>0</v>
      </c>
      <c r="O90" s="113">
        <f t="shared" si="14"/>
        <v>0</v>
      </c>
      <c r="P90" s="113">
        <f t="shared" si="15"/>
        <v>0</v>
      </c>
    </row>
    <row r="91" spans="1:16">
      <c r="I91" s="217"/>
      <c r="J91" s="113">
        <f>L91-L75</f>
        <v>-619428813</v>
      </c>
      <c r="K91" s="217"/>
      <c r="L91" s="84">
        <v>0</v>
      </c>
      <c r="M91" s="84"/>
      <c r="N91" s="217"/>
      <c r="O91" s="113">
        <f>M91-M75</f>
        <v>-242060147</v>
      </c>
      <c r="P91" s="113">
        <f>N91-N75</f>
        <v>-861488960</v>
      </c>
    </row>
    <row r="97" spans="14:14">
      <c r="N97" t="s">
        <v>25</v>
      </c>
    </row>
    <row r="98" spans="14:14">
      <c r="N98" t="s">
        <v>25</v>
      </c>
    </row>
  </sheetData>
  <pageMargins left="0.7" right="0.7" top="0.75" bottom="0.75" header="0.3" footer="0.3"/>
  <pageSetup orientation="portrait" horizontalDpi="1200" verticalDpi="1200" r:id="rId1"/>
  <ignoredErrors>
    <ignoredError sqref="P70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opLeftCell="E1" workbookViewId="0">
      <selection activeCell="AC4" sqref="AC4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8.5703125" customWidth="1"/>
    <col min="22" max="22" width="8.28515625" customWidth="1"/>
    <col min="23" max="23" width="8.5703125" customWidth="1"/>
    <col min="24" max="24" width="7" customWidth="1"/>
    <col min="25" max="25" width="8.42578125" customWidth="1"/>
    <col min="26" max="26" width="11.7109375" customWidth="1"/>
    <col min="28" max="28" width="12.28515625" customWidth="1"/>
    <col min="29" max="29" width="30.7109375" bestFit="1" customWidth="1"/>
  </cols>
  <sheetData>
    <row r="1" spans="1:34">
      <c r="A1" s="99" t="s">
        <v>3641</v>
      </c>
      <c r="B1" s="99" t="s">
        <v>180</v>
      </c>
      <c r="C1" s="99" t="s">
        <v>4273</v>
      </c>
      <c r="D1" s="99" t="s">
        <v>4274</v>
      </c>
      <c r="E1" s="99" t="s">
        <v>4275</v>
      </c>
      <c r="F1" s="99" t="s">
        <v>4276</v>
      </c>
      <c r="G1" s="74" t="s">
        <v>4277</v>
      </c>
      <c r="H1" s="74" t="s">
        <v>4435</v>
      </c>
      <c r="I1" s="74" t="s">
        <v>4300</v>
      </c>
      <c r="N1" s="99" t="s">
        <v>949</v>
      </c>
      <c r="O1" s="99">
        <v>6.3E-3</v>
      </c>
    </row>
    <row r="2" spans="1:34">
      <c r="A2" s="99">
        <v>1</v>
      </c>
      <c r="B2" s="99" t="s">
        <v>4172</v>
      </c>
      <c r="C2" s="169">
        <v>192</v>
      </c>
      <c r="D2" s="99">
        <v>0</v>
      </c>
      <c r="E2" s="99">
        <v>1000000</v>
      </c>
      <c r="F2" s="169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  <c r="Y2" s="99" t="s">
        <v>4545</v>
      </c>
      <c r="Z2" s="99" t="s">
        <v>4607</v>
      </c>
      <c r="AA2" s="99" t="s">
        <v>4605</v>
      </c>
      <c r="AB2" s="99" t="s">
        <v>4606</v>
      </c>
      <c r="AC2" s="99" t="s">
        <v>4609</v>
      </c>
      <c r="AD2" s="99"/>
      <c r="AE2" s="99"/>
      <c r="AF2" s="99"/>
      <c r="AG2" s="99"/>
      <c r="AH2" s="99"/>
    </row>
    <row r="3" spans="1:34">
      <c r="A3" s="99">
        <v>2</v>
      </c>
      <c r="B3" s="99"/>
      <c r="C3" s="169">
        <v>102</v>
      </c>
      <c r="D3" s="99">
        <v>-20000</v>
      </c>
      <c r="E3" s="99">
        <f>E2+D3</f>
        <v>980000</v>
      </c>
      <c r="F3" s="169">
        <f>-C3*D3*(1-IF(D3&lt;0,$O$1,$O$2))</f>
        <v>2027148</v>
      </c>
      <c r="G3" s="169">
        <f>ABS(C3*D3*IF(D3&lt;0,$O$1,$O$2))</f>
        <v>12852</v>
      </c>
      <c r="N3" s="99" t="s">
        <v>6</v>
      </c>
      <c r="O3" s="99">
        <f>O1+O2</f>
        <v>1.12E-2</v>
      </c>
      <c r="Y3" s="99" t="s">
        <v>4243</v>
      </c>
      <c r="Z3" s="99">
        <v>2740</v>
      </c>
      <c r="AA3" s="99">
        <v>1790</v>
      </c>
      <c r="AB3" s="99">
        <f t="shared" ref="AB3:AB4" si="0">AA3/Z3</f>
        <v>0.65328467153284675</v>
      </c>
      <c r="AC3" s="99" t="s">
        <v>4611</v>
      </c>
      <c r="AD3" s="99"/>
      <c r="AE3" s="99"/>
      <c r="AF3" s="99"/>
      <c r="AG3" s="99"/>
      <c r="AH3" s="99"/>
    </row>
    <row r="4" spans="1:34">
      <c r="A4" s="99">
        <v>3</v>
      </c>
      <c r="B4" s="99"/>
      <c r="C4" s="169">
        <v>104</v>
      </c>
      <c r="D4" s="99">
        <v>-20000</v>
      </c>
      <c r="E4" s="99">
        <f t="shared" ref="E4:E24" si="1">E3+D4</f>
        <v>960000</v>
      </c>
      <c r="F4" s="169">
        <f t="shared" ref="F4:F24" si="2">-C4*D4*(1-IF(D4&lt;0,$O$1,$O$2))</f>
        <v>2066896</v>
      </c>
      <c r="G4" s="169">
        <f t="shared" ref="G4:G24" si="3">ABS(C4*D4*IF(D4&lt;0,$O$1,$O$2))</f>
        <v>13104</v>
      </c>
      <c r="Y4" s="99" t="s">
        <v>4608</v>
      </c>
      <c r="Z4" s="99">
        <v>1</v>
      </c>
      <c r="AA4" s="99">
        <v>1</v>
      </c>
      <c r="AB4" s="99">
        <f t="shared" si="0"/>
        <v>1</v>
      </c>
      <c r="AC4" s="99" t="s">
        <v>4610</v>
      </c>
      <c r="AD4" s="99"/>
      <c r="AE4" s="99"/>
      <c r="AF4" s="99"/>
      <c r="AG4" s="99"/>
      <c r="AH4" s="99"/>
    </row>
    <row r="5" spans="1:34">
      <c r="A5" s="99">
        <v>4</v>
      </c>
      <c r="B5" s="99"/>
      <c r="C5" s="169">
        <v>102</v>
      </c>
      <c r="D5" s="99">
        <v>20000</v>
      </c>
      <c r="E5" s="99">
        <f t="shared" si="1"/>
        <v>980000</v>
      </c>
      <c r="F5" s="169">
        <f t="shared" si="2"/>
        <v>-2030004</v>
      </c>
      <c r="G5" s="169">
        <f t="shared" si="3"/>
        <v>9996</v>
      </c>
      <c r="Y5" s="99" t="s">
        <v>4593</v>
      </c>
      <c r="Z5" s="99">
        <v>2180</v>
      </c>
      <c r="AA5" s="99">
        <v>1194</v>
      </c>
      <c r="AB5" s="99">
        <f>AA5/Z5</f>
        <v>0.54770642201834863</v>
      </c>
      <c r="AC5" s="99"/>
      <c r="AD5" s="99"/>
      <c r="AE5" s="99"/>
      <c r="AF5" s="99"/>
      <c r="AG5" s="99"/>
      <c r="AH5" s="99"/>
    </row>
    <row r="6" spans="1:34">
      <c r="A6" s="99">
        <v>5</v>
      </c>
      <c r="B6" s="99"/>
      <c r="C6" s="169">
        <v>100</v>
      </c>
      <c r="D6" s="99">
        <v>20000</v>
      </c>
      <c r="E6" s="99">
        <f t="shared" si="1"/>
        <v>1000000</v>
      </c>
      <c r="F6" s="169">
        <f t="shared" si="2"/>
        <v>-1990200</v>
      </c>
      <c r="G6" s="169">
        <f t="shared" si="3"/>
        <v>9800</v>
      </c>
      <c r="Y6" s="99"/>
      <c r="Z6" s="99"/>
      <c r="AA6" s="99"/>
      <c r="AB6" s="99"/>
      <c r="AC6" s="99"/>
      <c r="AD6" s="99"/>
      <c r="AE6" s="99"/>
      <c r="AF6" s="99"/>
      <c r="AG6" s="99"/>
      <c r="AH6" s="99"/>
    </row>
    <row r="7" spans="1:34">
      <c r="A7" s="99">
        <v>6</v>
      </c>
      <c r="B7" s="99"/>
      <c r="C7" s="169">
        <v>98</v>
      </c>
      <c r="D7" s="99">
        <v>20000</v>
      </c>
      <c r="E7" s="99">
        <f t="shared" si="1"/>
        <v>1020000</v>
      </c>
      <c r="F7" s="169">
        <f t="shared" si="2"/>
        <v>-1950396</v>
      </c>
      <c r="G7" s="169">
        <f t="shared" si="3"/>
        <v>9604</v>
      </c>
      <c r="Y7" s="99"/>
      <c r="Z7" s="99"/>
      <c r="AA7" s="99"/>
      <c r="AB7" s="99"/>
      <c r="AC7" s="99"/>
      <c r="AD7" s="99"/>
      <c r="AE7" s="99"/>
      <c r="AF7" s="99"/>
      <c r="AG7" s="99"/>
      <c r="AH7" s="99"/>
    </row>
    <row r="8" spans="1:34">
      <c r="A8" s="99">
        <v>7</v>
      </c>
      <c r="B8" s="99"/>
      <c r="C8" s="169">
        <v>96</v>
      </c>
      <c r="D8" s="99">
        <v>20000</v>
      </c>
      <c r="E8" s="99">
        <f t="shared" si="1"/>
        <v>1040000</v>
      </c>
      <c r="F8" s="169">
        <f t="shared" si="2"/>
        <v>-1910592</v>
      </c>
      <c r="G8" s="169">
        <f t="shared" si="3"/>
        <v>9408</v>
      </c>
      <c r="Y8" s="99"/>
      <c r="Z8" s="99"/>
      <c r="AA8" s="99"/>
      <c r="AB8" s="99"/>
      <c r="AC8" s="99"/>
      <c r="AD8" s="99"/>
      <c r="AE8" s="99"/>
      <c r="AF8" s="99"/>
      <c r="AG8" s="99"/>
      <c r="AH8" s="99"/>
    </row>
    <row r="9" spans="1:34">
      <c r="A9" s="99">
        <v>8</v>
      </c>
      <c r="B9" s="99"/>
      <c r="C9" s="169">
        <v>98</v>
      </c>
      <c r="D9" s="99">
        <v>-20000</v>
      </c>
      <c r="E9" s="99">
        <f t="shared" si="1"/>
        <v>1020000</v>
      </c>
      <c r="F9" s="169">
        <f t="shared" si="2"/>
        <v>1947652</v>
      </c>
      <c r="G9" s="169">
        <f t="shared" si="3"/>
        <v>12348</v>
      </c>
      <c r="Q9" s="96">
        <v>1000000</v>
      </c>
      <c r="R9" s="96">
        <f>Q9*0.03</f>
        <v>30000</v>
      </c>
      <c r="Y9" s="99"/>
      <c r="Z9" s="99"/>
      <c r="AA9" s="99"/>
      <c r="AB9" s="99"/>
      <c r="AC9" s="99"/>
      <c r="AD9" s="99"/>
      <c r="AE9" s="99"/>
      <c r="AF9" s="99"/>
      <c r="AG9" s="99"/>
      <c r="AH9" s="99"/>
    </row>
    <row r="10" spans="1:34">
      <c r="A10" s="99">
        <v>9</v>
      </c>
      <c r="B10" s="99"/>
      <c r="C10" s="169">
        <v>96</v>
      </c>
      <c r="D10" s="99">
        <v>20000</v>
      </c>
      <c r="E10" s="99">
        <f t="shared" si="1"/>
        <v>1040000</v>
      </c>
      <c r="F10" s="169">
        <f t="shared" si="2"/>
        <v>-1910592</v>
      </c>
      <c r="G10" s="169">
        <f t="shared" si="3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  <c r="Y10" s="99"/>
      <c r="Z10" s="99"/>
      <c r="AA10" s="99"/>
      <c r="AB10" s="99"/>
      <c r="AC10" s="99"/>
      <c r="AD10" s="99"/>
      <c r="AE10" s="99"/>
      <c r="AF10" s="99"/>
      <c r="AG10" s="99"/>
      <c r="AH10" s="99"/>
    </row>
    <row r="11" spans="1:34">
      <c r="A11" s="99">
        <v>10</v>
      </c>
      <c r="B11" s="99"/>
      <c r="C11" s="169">
        <v>98</v>
      </c>
      <c r="D11" s="99">
        <v>-20000</v>
      </c>
      <c r="E11" s="99">
        <f t="shared" si="1"/>
        <v>1020000</v>
      </c>
      <c r="F11" s="169">
        <f t="shared" si="2"/>
        <v>1947652</v>
      </c>
      <c r="G11" s="169">
        <f t="shared" si="3"/>
        <v>12348</v>
      </c>
      <c r="T11" s="96"/>
      <c r="U11" s="96"/>
      <c r="V11" s="96"/>
      <c r="W11" s="96"/>
      <c r="Y11" s="99"/>
      <c r="Z11" s="99"/>
      <c r="AA11" s="99"/>
      <c r="AB11" s="99"/>
      <c r="AC11" s="99"/>
      <c r="AD11" s="99"/>
      <c r="AE11" s="99"/>
      <c r="AF11" s="99"/>
      <c r="AG11" s="99"/>
      <c r="AH11" s="99"/>
    </row>
    <row r="12" spans="1:34">
      <c r="A12" s="99">
        <v>11</v>
      </c>
      <c r="B12" s="99"/>
      <c r="C12" s="169">
        <v>100</v>
      </c>
      <c r="D12" s="99">
        <v>-20000</v>
      </c>
      <c r="E12" s="99">
        <f t="shared" si="1"/>
        <v>1000000</v>
      </c>
      <c r="F12" s="169">
        <f t="shared" si="2"/>
        <v>1987400</v>
      </c>
      <c r="G12" s="169">
        <f t="shared" si="3"/>
        <v>12600</v>
      </c>
      <c r="O12" s="96"/>
      <c r="P12" s="96"/>
      <c r="S12" s="96"/>
      <c r="T12" s="96"/>
      <c r="U12" s="96"/>
      <c r="V12" s="96"/>
      <c r="W12" s="96"/>
      <c r="X12" s="96"/>
      <c r="Y12" s="99"/>
      <c r="Z12" s="99"/>
      <c r="AA12" s="99"/>
      <c r="AB12" s="99"/>
      <c r="AC12" s="99"/>
      <c r="AD12" s="99"/>
      <c r="AE12" s="99"/>
      <c r="AF12" s="99"/>
      <c r="AG12" s="99"/>
      <c r="AH12" s="99"/>
    </row>
    <row r="13" spans="1:34">
      <c r="A13" s="99">
        <v>12</v>
      </c>
      <c r="B13" s="99"/>
      <c r="C13" s="169">
        <v>102</v>
      </c>
      <c r="D13" s="99">
        <v>-20000</v>
      </c>
      <c r="E13" s="99">
        <f t="shared" si="1"/>
        <v>980000</v>
      </c>
      <c r="F13" s="169">
        <f t="shared" si="2"/>
        <v>2027148</v>
      </c>
      <c r="G13" s="169">
        <f t="shared" si="3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9"/>
      <c r="Z13" s="99"/>
      <c r="AA13" s="99"/>
      <c r="AB13" s="99"/>
      <c r="AC13" s="99"/>
      <c r="AD13" s="99"/>
      <c r="AE13" s="99"/>
      <c r="AF13" s="99"/>
      <c r="AG13" s="99"/>
      <c r="AH13" s="99"/>
    </row>
    <row r="14" spans="1:34">
      <c r="A14" s="99">
        <v>13</v>
      </c>
      <c r="B14" s="99"/>
      <c r="C14" s="169">
        <v>104</v>
      </c>
      <c r="D14" s="99">
        <v>-20000</v>
      </c>
      <c r="E14" s="99">
        <f t="shared" si="1"/>
        <v>960000</v>
      </c>
      <c r="F14" s="169">
        <f t="shared" si="2"/>
        <v>2066896</v>
      </c>
      <c r="G14" s="169">
        <f t="shared" si="3"/>
        <v>13104</v>
      </c>
      <c r="O14" s="96"/>
      <c r="P14" s="96"/>
      <c r="S14" s="96"/>
      <c r="T14" s="96"/>
      <c r="U14" s="96"/>
      <c r="V14" s="96"/>
      <c r="W14" s="96"/>
      <c r="X14" s="96"/>
      <c r="Y14" s="99"/>
      <c r="Z14" s="99"/>
      <c r="AA14" s="99"/>
      <c r="AB14" s="99"/>
      <c r="AC14" s="99"/>
      <c r="AD14" s="99"/>
      <c r="AE14" s="99"/>
      <c r="AF14" s="99"/>
      <c r="AG14" s="99"/>
      <c r="AH14" s="99"/>
    </row>
    <row r="15" spans="1:34">
      <c r="A15" s="99">
        <v>14</v>
      </c>
      <c r="B15" s="99"/>
      <c r="C15" s="169">
        <v>102</v>
      </c>
      <c r="D15" s="99">
        <v>20000</v>
      </c>
      <c r="E15" s="99">
        <f t="shared" si="1"/>
        <v>980000</v>
      </c>
      <c r="F15" s="169">
        <f t="shared" si="2"/>
        <v>-2030004</v>
      </c>
      <c r="G15" s="169">
        <f t="shared" si="3"/>
        <v>9996</v>
      </c>
      <c r="O15" s="96"/>
      <c r="P15" s="96"/>
      <c r="S15" s="96"/>
      <c r="T15" s="96"/>
      <c r="U15" s="96"/>
      <c r="V15" s="96"/>
      <c r="W15" s="96"/>
      <c r="X15" s="96"/>
      <c r="Y15" s="99"/>
      <c r="Z15" s="99"/>
      <c r="AA15" s="99"/>
      <c r="AB15" s="99"/>
      <c r="AC15" s="99"/>
      <c r="AD15" s="99"/>
      <c r="AE15" s="99"/>
      <c r="AF15" s="99"/>
      <c r="AG15" s="99"/>
      <c r="AH15" s="99"/>
    </row>
    <row r="16" spans="1:34">
      <c r="A16" s="99">
        <v>15</v>
      </c>
      <c r="B16" s="99"/>
      <c r="C16" s="169">
        <v>100</v>
      </c>
      <c r="D16" s="99">
        <v>20000</v>
      </c>
      <c r="E16" s="99">
        <f t="shared" si="1"/>
        <v>1000000</v>
      </c>
      <c r="F16" s="169">
        <f t="shared" si="2"/>
        <v>-1990200</v>
      </c>
      <c r="G16" s="169">
        <f t="shared" si="3"/>
        <v>9800</v>
      </c>
      <c r="O16" s="96"/>
      <c r="P16" s="96"/>
      <c r="S16" s="96"/>
      <c r="T16" s="96"/>
      <c r="U16" s="96"/>
      <c r="V16" s="96"/>
      <c r="W16" s="96"/>
      <c r="X16" s="96"/>
      <c r="Y16" s="99"/>
      <c r="Z16" s="99"/>
      <c r="AA16" s="99"/>
      <c r="AB16" s="99"/>
      <c r="AC16" s="99"/>
      <c r="AD16" s="99"/>
      <c r="AE16" s="99"/>
      <c r="AF16" s="99"/>
      <c r="AG16" s="99"/>
      <c r="AH16" s="99"/>
    </row>
    <row r="17" spans="1:26">
      <c r="A17" s="99">
        <v>16</v>
      </c>
      <c r="B17" s="99"/>
      <c r="C17" s="169">
        <v>102</v>
      </c>
      <c r="D17" s="99">
        <v>-20000</v>
      </c>
      <c r="E17" s="99">
        <f t="shared" si="1"/>
        <v>980000</v>
      </c>
      <c r="F17" s="169">
        <f t="shared" si="2"/>
        <v>2027148</v>
      </c>
      <c r="G17" s="169">
        <f t="shared" si="3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6">
      <c r="A18" s="99">
        <v>17</v>
      </c>
      <c r="B18" s="99"/>
      <c r="C18" s="169">
        <v>104</v>
      </c>
      <c r="D18" s="99">
        <v>-20000</v>
      </c>
      <c r="E18" s="99">
        <f t="shared" si="1"/>
        <v>960000</v>
      </c>
      <c r="F18" s="169">
        <f t="shared" si="2"/>
        <v>2066896</v>
      </c>
      <c r="G18" s="169">
        <f t="shared" si="3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6">
      <c r="A19" s="99">
        <v>18</v>
      </c>
      <c r="B19" s="99"/>
      <c r="C19" s="169">
        <v>106</v>
      </c>
      <c r="D19" s="99">
        <v>-20000</v>
      </c>
      <c r="E19" s="99">
        <f t="shared" si="1"/>
        <v>940000</v>
      </c>
      <c r="F19" s="169">
        <f t="shared" si="2"/>
        <v>2106644</v>
      </c>
      <c r="G19" s="169">
        <f t="shared" si="3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6">
      <c r="A20" s="99">
        <v>19</v>
      </c>
      <c r="B20" s="99"/>
      <c r="C20" s="169">
        <v>108</v>
      </c>
      <c r="D20" s="99">
        <v>-20000</v>
      </c>
      <c r="E20" s="99">
        <f t="shared" si="1"/>
        <v>920000</v>
      </c>
      <c r="F20" s="169">
        <f t="shared" si="2"/>
        <v>2146392</v>
      </c>
      <c r="G20" s="169">
        <f t="shared" si="3"/>
        <v>13608</v>
      </c>
      <c r="O20" s="96"/>
      <c r="P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99">
        <v>20</v>
      </c>
      <c r="B21" s="99"/>
      <c r="C21" s="169">
        <v>106</v>
      </c>
      <c r="D21" s="99">
        <v>20000</v>
      </c>
      <c r="E21" s="99">
        <f t="shared" si="1"/>
        <v>940000</v>
      </c>
      <c r="F21" s="169">
        <f t="shared" si="2"/>
        <v>-2109612</v>
      </c>
      <c r="G21" s="169">
        <f t="shared" si="3"/>
        <v>10388</v>
      </c>
      <c r="O21" s="96"/>
      <c r="P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99">
        <v>21</v>
      </c>
      <c r="B22" s="99"/>
      <c r="C22" s="169">
        <v>104</v>
      </c>
      <c r="D22" s="99">
        <v>20000</v>
      </c>
      <c r="E22" s="99">
        <f t="shared" si="1"/>
        <v>960000</v>
      </c>
      <c r="F22" s="169">
        <f t="shared" si="2"/>
        <v>-2069808</v>
      </c>
      <c r="G22" s="169">
        <f t="shared" si="3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6">
      <c r="A23" s="99">
        <v>22</v>
      </c>
      <c r="B23" s="99"/>
      <c r="C23" s="169">
        <v>102</v>
      </c>
      <c r="D23" s="99">
        <v>20000</v>
      </c>
      <c r="E23" s="99">
        <f t="shared" si="1"/>
        <v>980000</v>
      </c>
      <c r="F23" s="169">
        <f t="shared" si="2"/>
        <v>-2030004</v>
      </c>
      <c r="G23" s="169">
        <f t="shared" si="3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6">
      <c r="A24" s="99">
        <v>23</v>
      </c>
      <c r="B24" s="99"/>
      <c r="C24" s="169">
        <v>100</v>
      </c>
      <c r="D24" s="99">
        <v>20000</v>
      </c>
      <c r="E24" s="99">
        <f t="shared" si="1"/>
        <v>1000000</v>
      </c>
      <c r="F24" s="169">
        <f t="shared" si="2"/>
        <v>-1990200</v>
      </c>
      <c r="G24" s="169">
        <f t="shared" si="3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6">
      <c r="A25" s="99">
        <v>24</v>
      </c>
      <c r="B25" s="99"/>
      <c r="C25" s="99"/>
      <c r="D25" s="99"/>
      <c r="E25" s="99"/>
      <c r="F25" s="169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6">
      <c r="A26" s="99">
        <v>25</v>
      </c>
      <c r="B26" s="99"/>
      <c r="C26" s="99"/>
      <c r="D26" s="99"/>
      <c r="E26" s="99"/>
      <c r="F26" s="169">
        <f>SUM(F2:F24)</f>
        <v>406260</v>
      </c>
      <c r="G26" s="169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6">
      <c r="A27" s="99">
        <v>26</v>
      </c>
      <c r="B27" s="99"/>
      <c r="C27" s="99"/>
      <c r="D27" s="99"/>
      <c r="E27" s="99"/>
      <c r="F27" s="99" t="s">
        <v>4278</v>
      </c>
      <c r="G27" s="99" t="s">
        <v>4279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6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6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6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6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6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AgentBased</vt:lpstr>
      <vt:lpstr>اسفند97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خرید و فروش سکه فیزیکی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آذر 97</vt:lpstr>
      <vt:lpstr>دی 97</vt:lpstr>
      <vt:lpstr>بهمن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  <vt:lpstr>صبحانه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2019-03-16T11:30:53Z</dcterms:modified>
</cp:coreProperties>
</file>