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168" i="18" l="1"/>
  <c r="J233" i="52" l="1"/>
  <c r="P219" i="18" l="1"/>
  <c r="N230" i="52" l="1"/>
  <c r="O227" i="52" l="1"/>
  <c r="P195" i="18"/>
  <c r="W346" i="18"/>
  <c r="W345" i="18"/>
  <c r="W344" i="18"/>
  <c r="O223" i="52" l="1"/>
  <c r="W343" i="18"/>
  <c r="J222" i="52" l="1"/>
  <c r="W342" i="18"/>
  <c r="L44" i="18"/>
  <c r="L47"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P233" i="52" s="1"/>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4" i="52"/>
  <c r="J235" i="52"/>
  <c r="J236" i="52"/>
  <c r="J237" i="52"/>
  <c r="J238" i="52"/>
  <c r="J239" i="52"/>
  <c r="J240" i="52"/>
  <c r="J241" i="52"/>
  <c r="J242" i="52"/>
  <c r="J243" i="52"/>
  <c r="W337" i="18"/>
  <c r="O212" i="52"/>
  <c r="P222" i="52" l="1"/>
  <c r="P227" i="52"/>
  <c r="P223" i="52"/>
  <c r="P220" i="52"/>
  <c r="P218" i="52"/>
  <c r="P216" i="52"/>
  <c r="P230" i="52"/>
  <c r="P224"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8"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5"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4"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3" i="18"/>
  <c r="S84" i="18" s="1"/>
  <c r="S85" i="18" s="1"/>
  <c r="R213" i="18"/>
  <c r="R211" i="18"/>
  <c r="D57" i="51"/>
  <c r="AL117" i="18" l="1"/>
  <c r="AM118" i="18"/>
  <c r="S86" i="18"/>
  <c r="S87" i="18" s="1"/>
  <c r="AM117" i="18" l="1"/>
  <c r="AL116" i="18"/>
  <c r="S88" i="18"/>
  <c r="S89" i="18" s="1"/>
  <c r="N31" i="18"/>
  <c r="Q115"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09"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4" i="18" s="1"/>
  <c r="R208" i="18" l="1"/>
  <c r="S139" i="18"/>
  <c r="S140" i="18" s="1"/>
  <c r="S141" i="18" s="1"/>
  <c r="M102" i="18"/>
  <c r="N102" i="18" s="1"/>
  <c r="N110" i="18" s="1"/>
  <c r="AJ223" i="18"/>
  <c r="AJ224" i="18" s="1"/>
  <c r="G305" i="20"/>
  <c r="I306" i="20"/>
  <c r="K306" i="20"/>
  <c r="J306" i="20"/>
  <c r="AL74" i="18"/>
  <c r="AM75" i="18"/>
  <c r="R221" i="18" l="1"/>
  <c r="T351" i="18" s="1"/>
  <c r="V354"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3" i="18"/>
  <c r="V68" i="18"/>
  <c r="W68" i="18" s="1"/>
  <c r="V67" i="18"/>
  <c r="W67" i="18" s="1"/>
  <c r="V111" i="18"/>
  <c r="W111" i="18" s="1"/>
  <c r="U364" i="18"/>
  <c r="V364"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7"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3" i="18"/>
  <c r="W183"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197" i="18"/>
  <c r="V197"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6" i="18"/>
  <c r="R205"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5" i="18"/>
  <c r="S194" i="18"/>
  <c r="R204"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4" i="18" l="1"/>
  <c r="W141"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79" i="18" l="1"/>
  <c r="V180" i="18"/>
  <c r="G196" i="13"/>
  <c r="G199" i="13" s="1"/>
  <c r="J199" i="20"/>
  <c r="G198" i="20"/>
  <c r="K199" i="20"/>
  <c r="I199" i="20"/>
  <c r="G102" i="13"/>
  <c r="G103" i="13"/>
  <c r="U14" i="32"/>
  <c r="L14" i="32" s="1"/>
  <c r="Q9" i="32"/>
  <c r="R9" i="32"/>
  <c r="Y5" i="33"/>
  <c r="W180" i="18" l="1"/>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<sst xmlns="http://schemas.openxmlformats.org/spreadsheetml/2006/main" count="12883" uniqueCount="5401">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</sst>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I207" zoomScale="90" zoomScaleNormal="90" workbookViewId="0">
      <selection activeCell="Q238" sqref="Q23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5179</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5183</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5235</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5305</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5309</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5310</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5316</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5179</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5183</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5216</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5217</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5228</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5240</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5285</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5179</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5183</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5185</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5190</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5192</v>
      </c>
      <c r="L184" s="84">
        <v>904707054</v>
      </c>
      <c r="M184" s="84">
        <v>557394961</v>
      </c>
      <c r="N184" s="113">
        <f t="shared" si="45"/>
        <v>1462102015</v>
      </c>
      <c r="O184" s="113">
        <f t="shared" si="49"/>
        <v>-6711498</v>
      </c>
      <c r="P184" s="113">
        <f t="shared" si="50"/>
        <v>-18369320</v>
      </c>
      <c r="Q184" s="229">
        <v>0</v>
      </c>
    </row>
    <row r="185" spans="9:17">
      <c r="I185" s="189" t="s">
        <v>5198</v>
      </c>
      <c r="J185" s="188">
        <f>L185-L184-200000</f>
        <v>15983884</v>
      </c>
      <c r="K185" s="189" t="s">
        <v>5194</v>
      </c>
      <c r="L185" s="238">
        <v>920890938</v>
      </c>
      <c r="M185" s="238">
        <v>566042468</v>
      </c>
      <c r="N185" s="188">
        <f t="shared" si="45"/>
        <v>1486933406</v>
      </c>
      <c r="O185" s="188">
        <f t="shared" si="49"/>
        <v>8647507</v>
      </c>
      <c r="P185" s="188">
        <f>N185-N184-200000</f>
        <v>24631391</v>
      </c>
      <c r="Q185" s="229">
        <v>200000</v>
      </c>
    </row>
    <row r="186" spans="9:17">
      <c r="I186" s="189" t="s">
        <v>5206</v>
      </c>
      <c r="J186" s="188">
        <f>L186-L185-30000</f>
        <v>1392982</v>
      </c>
      <c r="K186" s="189" t="s">
        <v>5199</v>
      </c>
      <c r="L186" s="238">
        <v>922313920</v>
      </c>
      <c r="M186" s="238">
        <v>567221668</v>
      </c>
      <c r="N186" s="188">
        <f t="shared" si="45"/>
        <v>1489535588</v>
      </c>
      <c r="O186" s="188">
        <f t="shared" si="49"/>
        <v>1179200</v>
      </c>
      <c r="P186" s="188">
        <f>N186-N185-30000</f>
        <v>2572182</v>
      </c>
      <c r="Q186" s="229">
        <v>30000</v>
      </c>
    </row>
    <row r="187" spans="9:17">
      <c r="I187" s="213" t="s">
        <v>5211</v>
      </c>
      <c r="J187" s="113">
        <f t="shared" si="46"/>
        <v>-1865454</v>
      </c>
      <c r="K187" s="213" t="s">
        <v>5210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5222</v>
      </c>
      <c r="J190" s="188">
        <f>L190-L189+4000000</f>
        <v>-1393565</v>
      </c>
      <c r="K190" s="189" t="s">
        <v>5221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5227</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5230</v>
      </c>
      <c r="L194" s="254">
        <v>901275329</v>
      </c>
      <c r="M194" s="254">
        <v>583098793</v>
      </c>
      <c r="N194" s="117">
        <f>L194+M194</f>
        <v>1484374122</v>
      </c>
      <c r="O194" s="117">
        <f t="shared" si="49"/>
        <v>-3486217</v>
      </c>
      <c r="P194" s="117">
        <f>N194-N193</f>
        <v>-18861608</v>
      </c>
      <c r="Q194" s="229">
        <v>0</v>
      </c>
    </row>
    <row r="195" spans="9:17">
      <c r="I195" s="189" t="s">
        <v>5238</v>
      </c>
      <c r="J195" s="188">
        <f>L195-L194-150000</f>
        <v>17593478</v>
      </c>
      <c r="K195" s="189" t="s">
        <v>5235</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5239</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5240</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5246</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5274</v>
      </c>
      <c r="L199" s="84">
        <v>992076311</v>
      </c>
      <c r="M199" s="84">
        <v>638214788</v>
      </c>
      <c r="N199" s="117">
        <f t="shared" si="45"/>
        <v>1630291099</v>
      </c>
      <c r="O199" s="113">
        <f t="shared" si="49"/>
        <v>470124</v>
      </c>
      <c r="P199" s="113">
        <f t="shared" si="50"/>
        <v>12547575</v>
      </c>
      <c r="Q199" s="229">
        <v>0</v>
      </c>
    </row>
    <row r="200" spans="9:17">
      <c r="I200" s="189" t="s">
        <v>5284</v>
      </c>
      <c r="J200" s="188">
        <f>L200-L199-400000</f>
        <v>-7612896</v>
      </c>
      <c r="K200" s="189" t="s">
        <v>5279</v>
      </c>
      <c r="L200" s="238">
        <v>984863415</v>
      </c>
      <c r="M200" s="238">
        <v>632226484</v>
      </c>
      <c r="N200" s="188">
        <f t="shared" si="45"/>
        <v>1617089899</v>
      </c>
      <c r="O200" s="188">
        <f t="shared" si="49"/>
        <v>-5988304</v>
      </c>
      <c r="P200" s="188">
        <f>N200-N199-400000</f>
        <v>-13601200</v>
      </c>
      <c r="Q200" s="229">
        <v>400000</v>
      </c>
    </row>
    <row r="201" spans="9:17">
      <c r="I201" s="216" t="s">
        <v>5287</v>
      </c>
      <c r="J201" s="248">
        <f>L201-L200+100000</f>
        <v>12509920</v>
      </c>
      <c r="K201" s="216" t="s">
        <v>5285</v>
      </c>
      <c r="L201" s="249">
        <v>997273335</v>
      </c>
      <c r="M201" s="249">
        <v>639479822</v>
      </c>
      <c r="N201" s="248">
        <f t="shared" si="45"/>
        <v>1636753157</v>
      </c>
      <c r="O201" s="248">
        <f t="shared" si="49"/>
        <v>7253338</v>
      </c>
      <c r="P201" s="248">
        <f>N201-N200+100000</f>
        <v>19763258</v>
      </c>
      <c r="Q201" s="229">
        <v>-100000</v>
      </c>
    </row>
    <row r="202" spans="9:17">
      <c r="I202" s="189" t="s">
        <v>5292</v>
      </c>
      <c r="J202" s="188">
        <f>L202-L201-10000000</f>
        <v>-2265988</v>
      </c>
      <c r="K202" s="189" t="s">
        <v>5290</v>
      </c>
      <c r="L202" s="238">
        <v>1005007347</v>
      </c>
      <c r="M202" s="238">
        <v>636084938</v>
      </c>
      <c r="N202" s="188">
        <f t="shared" si="45"/>
        <v>1641092285</v>
      </c>
      <c r="O202" s="188">
        <f t="shared" si="49"/>
        <v>-3394884</v>
      </c>
      <c r="P202" s="188">
        <f>N202-N201-10000000</f>
        <v>-5660872</v>
      </c>
      <c r="Q202" s="229">
        <v>10000000</v>
      </c>
    </row>
    <row r="203" spans="9:17">
      <c r="I203" s="216" t="s">
        <v>5302</v>
      </c>
      <c r="J203" s="248">
        <f>L203-L202+400000</f>
        <v>8061336</v>
      </c>
      <c r="K203" s="216" t="s">
        <v>5299</v>
      </c>
      <c r="L203" s="249">
        <v>1012668683</v>
      </c>
      <c r="M203" s="249">
        <v>641491326</v>
      </c>
      <c r="N203" s="220">
        <f t="shared" si="45"/>
        <v>1654160009</v>
      </c>
      <c r="O203" s="248">
        <f t="shared" si="49"/>
        <v>5406388</v>
      </c>
      <c r="P203" s="248">
        <f>N203-N202+400000</f>
        <v>13467724</v>
      </c>
      <c r="Q203" s="229">
        <v>-400000</v>
      </c>
    </row>
    <row r="204" spans="9:17">
      <c r="I204" s="216" t="s">
        <v>5303</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5305</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5309</v>
      </c>
      <c r="L206" s="84">
        <v>991102717</v>
      </c>
      <c r="M206" s="84">
        <v>623731041</v>
      </c>
      <c r="N206" s="113">
        <f t="shared" si="52"/>
        <v>1614833758</v>
      </c>
      <c r="O206" s="113">
        <f t="shared" si="53"/>
        <v>-2790917</v>
      </c>
      <c r="P206" s="113">
        <f t="shared" si="54"/>
        <v>-6391417</v>
      </c>
      <c r="Q206" s="229">
        <v>0</v>
      </c>
    </row>
    <row r="207" spans="9:17">
      <c r="I207" s="189" t="s">
        <v>5315</v>
      </c>
      <c r="J207" s="188">
        <f>L207-L206-1300000</f>
        <v>-17889835</v>
      </c>
      <c r="K207" s="189" t="s">
        <v>5310</v>
      </c>
      <c r="L207" s="238">
        <v>974512882</v>
      </c>
      <c r="M207" s="238">
        <v>611227725</v>
      </c>
      <c r="N207" s="188">
        <f t="shared" si="52"/>
        <v>1585740607</v>
      </c>
      <c r="O207" s="188">
        <f>M207-M206-230000</f>
        <v>-12733316</v>
      </c>
      <c r="P207" s="188">
        <f>N207-N206-1530000</f>
        <v>-30623151</v>
      </c>
      <c r="Q207" s="229">
        <v>1530000</v>
      </c>
    </row>
    <row r="208" spans="9:17">
      <c r="I208" s="216" t="s">
        <v>5317</v>
      </c>
      <c r="J208" s="248">
        <f>L208-L207-230000</f>
        <v>26666770</v>
      </c>
      <c r="K208" s="216" t="s">
        <v>5316</v>
      </c>
      <c r="L208" s="249">
        <v>1001409652</v>
      </c>
      <c r="M208" s="249">
        <v>627313031</v>
      </c>
      <c r="N208" s="248">
        <f t="shared" si="52"/>
        <v>1628722683</v>
      </c>
      <c r="O208" s="248">
        <f>M208-M207+880000</f>
        <v>16965306</v>
      </c>
      <c r="P208" s="248">
        <f t="shared" si="54"/>
        <v>42982076</v>
      </c>
      <c r="Q208" s="229">
        <v>-650000</v>
      </c>
    </row>
    <row r="209" spans="9:19">
      <c r="I209" s="189" t="s">
        <v>5318</v>
      </c>
      <c r="J209" s="188">
        <f>L209-L208-880000</f>
        <v>38363123</v>
      </c>
      <c r="K209" s="189" t="s">
        <v>5319</v>
      </c>
      <c r="L209" s="238">
        <v>1040652775</v>
      </c>
      <c r="M209" s="238">
        <v>653526288</v>
      </c>
      <c r="N209" s="220">
        <f t="shared" si="52"/>
        <v>1694179063</v>
      </c>
      <c r="O209" s="188">
        <f t="shared" si="53"/>
        <v>26213257</v>
      </c>
      <c r="P209" s="188">
        <f>N209-N208-880000</f>
        <v>64576380</v>
      </c>
      <c r="Q209" s="229">
        <v>880000</v>
      </c>
    </row>
    <row r="210" spans="9:19">
      <c r="I210" s="216" t="s">
        <v>5324</v>
      </c>
      <c r="J210" s="248">
        <f>L210-L209+900000</f>
        <v>20298534</v>
      </c>
      <c r="K210" s="216" t="s">
        <v>5321</v>
      </c>
      <c r="L210" s="249">
        <v>1060051309</v>
      </c>
      <c r="M210" s="249">
        <v>663872836</v>
      </c>
      <c r="N210" s="35">
        <f t="shared" si="52"/>
        <v>1723924145</v>
      </c>
      <c r="O210" s="248">
        <f>M210-M209-200000</f>
        <v>10146548</v>
      </c>
      <c r="P210" s="248">
        <f>N210-N209+700000</f>
        <v>30445082</v>
      </c>
      <c r="Q210" s="229">
        <v>-700000</v>
      </c>
    </row>
    <row r="211" spans="9:19">
      <c r="I211" s="189" t="s">
        <v>5329</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5330</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5332</v>
      </c>
      <c r="J213" s="113">
        <f>L213-L212+800000</f>
        <v>15351721</v>
      </c>
      <c r="K213" s="213" t="s">
        <v>5333</v>
      </c>
      <c r="L213" s="84">
        <v>1017597520</v>
      </c>
      <c r="M213" s="84">
        <v>638870084</v>
      </c>
      <c r="N213" s="113">
        <f t="shared" si="52"/>
        <v>1656467604</v>
      </c>
      <c r="O213" s="113">
        <f>M213-M212+10000000</f>
        <v>14214313</v>
      </c>
      <c r="P213" s="113">
        <f>N213-N212+10800000</f>
        <v>29566034</v>
      </c>
      <c r="Q213" s="229">
        <v>-10800000</v>
      </c>
    </row>
    <row r="214" spans="9:19">
      <c r="I214" s="216" t="s">
        <v>5343</v>
      </c>
      <c r="J214" s="248">
        <f t="shared" si="51"/>
        <v>-18127600</v>
      </c>
      <c r="K214" s="216" t="s">
        <v>5338</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5345</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5349</v>
      </c>
      <c r="J217" s="248">
        <f>L217-L216-50000</f>
        <v>-3947893</v>
      </c>
      <c r="K217" s="216" t="s">
        <v>5348</v>
      </c>
      <c r="L217" s="249">
        <v>1010326365</v>
      </c>
      <c r="M217" s="249">
        <v>632690003</v>
      </c>
      <c r="N217" s="248">
        <f t="shared" si="55"/>
        <v>1643016368</v>
      </c>
      <c r="O217" s="248">
        <f t="shared" si="56"/>
        <v>-2811879</v>
      </c>
      <c r="P217" s="248">
        <f>N217-N216-50000</f>
        <v>-6759772</v>
      </c>
      <c r="Q217" s="229">
        <v>50000</v>
      </c>
    </row>
    <row r="218" spans="9:19">
      <c r="I218" s="216" t="s">
        <v>5352</v>
      </c>
      <c r="J218" s="248">
        <f>L218-L217-400000</f>
        <v>-7352281</v>
      </c>
      <c r="K218" s="216" t="s">
        <v>5354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5358</v>
      </c>
      <c r="L219" s="84">
        <v>999517682</v>
      </c>
      <c r="M219" s="84">
        <v>627640361</v>
      </c>
      <c r="N219" s="113">
        <f t="shared" si="55"/>
        <v>1627158043</v>
      </c>
      <c r="O219" s="113">
        <f t="shared" si="56"/>
        <v>-1762209</v>
      </c>
      <c r="P219" s="113">
        <f t="shared" si="57"/>
        <v>-5618611</v>
      </c>
      <c r="Q219" s="229">
        <v>0</v>
      </c>
    </row>
    <row r="220" spans="9:19">
      <c r="I220" s="189" t="s">
        <v>5361</v>
      </c>
      <c r="J220" s="188">
        <f t="shared" si="51"/>
        <v>30762624</v>
      </c>
      <c r="K220" s="189" t="s">
        <v>5360</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5308</v>
      </c>
      <c r="L221" s="84">
        <v>1013932649</v>
      </c>
      <c r="M221" s="84">
        <v>635152182</v>
      </c>
      <c r="N221" s="113">
        <f t="shared" si="55"/>
        <v>1649084831</v>
      </c>
      <c r="O221" s="113">
        <f t="shared" si="56"/>
        <v>-10386048</v>
      </c>
      <c r="P221" s="113">
        <f t="shared" si="57"/>
        <v>-26733705</v>
      </c>
      <c r="Q221" s="229">
        <v>0</v>
      </c>
    </row>
    <row r="222" spans="9:19">
      <c r="I222" s="279" t="s">
        <v>5372</v>
      </c>
      <c r="J222" s="280">
        <f>L222-L221+7000000</f>
        <v>4431891</v>
      </c>
      <c r="K222" s="279" t="s">
        <v>5373</v>
      </c>
      <c r="L222" s="281">
        <v>1011364540</v>
      </c>
      <c r="M222" s="281">
        <v>634014280</v>
      </c>
      <c r="N222" s="280">
        <f t="shared" si="55"/>
        <v>1645378820</v>
      </c>
      <c r="O222" s="280">
        <f t="shared" si="56"/>
        <v>-1137902</v>
      </c>
      <c r="P222" s="280">
        <f>N222-N221+7000000</f>
        <v>3293989</v>
      </c>
      <c r="Q222" s="229">
        <v>-7000000</v>
      </c>
    </row>
    <row r="223" spans="9:19">
      <c r="I223" s="216" t="s">
        <v>5376</v>
      </c>
      <c r="J223" s="248">
        <f t="shared" si="51"/>
        <v>-12364540</v>
      </c>
      <c r="K223" s="216" t="s">
        <v>5375</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5378</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5379</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5380</v>
      </c>
      <c r="L226" s="84">
        <v>995000000</v>
      </c>
      <c r="M226" s="84">
        <v>625000000</v>
      </c>
      <c r="N226" s="113">
        <f t="shared" si="55"/>
        <v>1620000000</v>
      </c>
      <c r="O226" s="113">
        <f t="shared" si="56"/>
        <v>-2621912</v>
      </c>
      <c r="P226" s="113">
        <f t="shared" si="57"/>
        <v>-8262288</v>
      </c>
      <c r="Q226" s="229">
        <v>0</v>
      </c>
    </row>
    <row r="227" spans="9:19">
      <c r="I227" s="189" t="s">
        <v>5381</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5383</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5384</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5385</v>
      </c>
      <c r="L230" s="84">
        <v>981346829</v>
      </c>
      <c r="M230" s="84">
        <v>616768631</v>
      </c>
      <c r="N230" s="113">
        <f>L230+M230</f>
        <v>1598115460</v>
      </c>
      <c r="O230" s="113">
        <f t="shared" si="56"/>
        <v>-231369</v>
      </c>
      <c r="P230" s="113">
        <f t="shared" si="57"/>
        <v>-2584540</v>
      </c>
      <c r="Q230" s="229">
        <v>0</v>
      </c>
    </row>
    <row r="231" spans="9:19">
      <c r="I231" s="189" t="s">
        <v>5387</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5386</v>
      </c>
      <c r="L232" s="84">
        <v>982764273</v>
      </c>
      <c r="M232" s="84">
        <v>618232370</v>
      </c>
      <c r="N232" s="113">
        <f t="shared" si="55"/>
        <v>1600996643</v>
      </c>
      <c r="O232" s="113">
        <f t="shared" si="56"/>
        <v>9817180</v>
      </c>
      <c r="P232" s="113">
        <f t="shared" si="57"/>
        <v>27833689</v>
      </c>
      <c r="Q232" s="229">
        <v>0</v>
      </c>
    </row>
    <row r="233" spans="9:19">
      <c r="I233" s="189" t="s">
        <v>5392</v>
      </c>
      <c r="J233" s="188">
        <f>L233-L232+990760</f>
        <v>270597</v>
      </c>
      <c r="K233" s="189" t="s">
        <v>5391</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5393</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5394</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5398</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5399</v>
      </c>
      <c r="L237" s="84">
        <v>973935836</v>
      </c>
      <c r="M237" s="84">
        <v>612781866</v>
      </c>
      <c r="N237" s="113">
        <f t="shared" si="55"/>
        <v>1586717702</v>
      </c>
      <c r="O237" s="113">
        <f t="shared" si="56"/>
        <v>-4703074</v>
      </c>
      <c r="P237" s="113">
        <f t="shared" si="57"/>
        <v>-14274043</v>
      </c>
      <c r="Q237" s="229">
        <v>0</v>
      </c>
    </row>
    <row r="238" spans="9:19">
      <c r="I238" s="213"/>
      <c r="J238" s="113">
        <f t="shared" si="51"/>
        <v>-973935836</v>
      </c>
      <c r="K238" s="213"/>
      <c r="L238" s="84"/>
      <c r="M238" s="84"/>
      <c r="N238" s="113">
        <f t="shared" si="55"/>
        <v>0</v>
      </c>
      <c r="O238" s="113">
        <f t="shared" si="56"/>
        <v>-612781866</v>
      </c>
      <c r="P238" s="113">
        <f t="shared" si="57"/>
        <v>-1586717702</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5285</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5285</v>
      </c>
      <c r="I34" s="11">
        <v>257000</v>
      </c>
      <c r="J34" s="11" t="s">
        <v>567</v>
      </c>
    </row>
    <row r="35" spans="6:23">
      <c r="G35" s="11">
        <f t="shared" si="5"/>
        <v>1000</v>
      </c>
      <c r="H35" s="11" t="s">
        <v>5285</v>
      </c>
      <c r="I35" s="11">
        <v>257000</v>
      </c>
      <c r="J35" s="11" t="s">
        <v>568</v>
      </c>
    </row>
    <row r="36" spans="6:23">
      <c r="F36" t="s">
        <v>25</v>
      </c>
      <c r="G36" s="11">
        <f t="shared" si="5"/>
        <v>39000</v>
      </c>
      <c r="H36" s="11" t="s">
        <v>642</v>
      </c>
      <c r="I36" s="11">
        <v>219000</v>
      </c>
      <c r="J36" s="11" t="s">
        <v>641</v>
      </c>
      <c r="O36" s="22"/>
    </row>
    <row r="37" spans="6:23">
      <c r="G37" s="11">
        <f t="shared" si="5"/>
        <v>0</v>
      </c>
      <c r="H37" s="11" t="s">
        <v>5354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5285</v>
      </c>
      <c r="I47" s="99">
        <v>257000</v>
      </c>
      <c r="J47" s="99" t="s">
        <v>5340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P53" sqref="P5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5255</v>
      </c>
      <c r="D28" s="96" t="s">
        <v>5261</v>
      </c>
      <c r="E28" t="s">
        <v>5262</v>
      </c>
      <c r="F28" t="s">
        <v>5264</v>
      </c>
      <c r="G28" t="s">
        <v>5265</v>
      </c>
      <c r="O28" s="99" t="s">
        <v>5122</v>
      </c>
      <c r="P28" s="18">
        <v>100000</v>
      </c>
      <c r="Q28" s="99">
        <v>1</v>
      </c>
      <c r="R28" s="99"/>
      <c r="S28" s="96"/>
      <c r="T28" s="96"/>
    </row>
    <row r="29" spans="1:22">
      <c r="C29" s="96" t="s">
        <v>5260</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5266</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5267</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5268</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5269</v>
      </c>
      <c r="D33" s="96">
        <v>500</v>
      </c>
      <c r="E33" s="96">
        <v>0.6</v>
      </c>
      <c r="F33" s="96">
        <f t="shared" si="7"/>
        <v>300000000</v>
      </c>
      <c r="G33" s="96">
        <f t="shared" si="6"/>
        <v>3420</v>
      </c>
      <c r="O33" s="99" t="s">
        <v>5129</v>
      </c>
      <c r="P33" s="18">
        <v>6000000</v>
      </c>
      <c r="Q33" s="99">
        <v>8</v>
      </c>
      <c r="R33" s="99"/>
      <c r="S33" s="96"/>
      <c r="T33" s="96"/>
    </row>
    <row r="34" spans="1:22">
      <c r="A34" s="96"/>
      <c r="B34" s="96"/>
      <c r="C34" s="96" t="s">
        <v>5270</v>
      </c>
      <c r="D34" s="96">
        <v>903</v>
      </c>
      <c r="E34" s="96">
        <v>1</v>
      </c>
      <c r="F34" s="96">
        <f t="shared" si="7"/>
        <v>903000000</v>
      </c>
      <c r="G34" s="96">
        <f t="shared" si="6"/>
        <v>10294.200000000001</v>
      </c>
      <c r="O34" s="99" t="s">
        <v>5194</v>
      </c>
      <c r="P34" s="18">
        <v>-50000</v>
      </c>
      <c r="Q34" s="99">
        <v>3</v>
      </c>
      <c r="R34" s="99"/>
      <c r="S34" s="96"/>
      <c r="T34" s="96"/>
    </row>
    <row r="35" spans="1:22">
      <c r="A35" s="96"/>
      <c r="B35" s="96"/>
      <c r="E35" s="96"/>
      <c r="F35" s="96">
        <f t="shared" si="7"/>
        <v>0</v>
      </c>
      <c r="G35" s="96">
        <f t="shared" si="6"/>
        <v>0</v>
      </c>
      <c r="O35" s="99" t="s">
        <v>5199</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5221</v>
      </c>
      <c r="P37" s="18">
        <v>-2302282</v>
      </c>
      <c r="Q37" s="99">
        <v>6</v>
      </c>
      <c r="R37" s="99"/>
      <c r="S37" s="96"/>
      <c r="T37" s="96"/>
    </row>
    <row r="38" spans="1:22">
      <c r="A38" s="96"/>
      <c r="B38" s="96"/>
      <c r="E38" s="96"/>
      <c r="F38" s="96"/>
      <c r="O38" s="99" t="s">
        <v>5230</v>
      </c>
      <c r="P38" s="18">
        <v>100000</v>
      </c>
      <c r="Q38" s="99">
        <v>1</v>
      </c>
      <c r="R38" s="99"/>
      <c r="S38" s="96"/>
      <c r="T38" s="96"/>
    </row>
    <row r="39" spans="1:22">
      <c r="A39" s="96"/>
      <c r="B39" s="96"/>
      <c r="C39" s="96" t="s">
        <v>5256</v>
      </c>
      <c r="D39" s="96" t="s">
        <v>5257</v>
      </c>
      <c r="E39" s="96"/>
      <c r="F39" s="96"/>
      <c r="O39" s="99" t="s">
        <v>5235</v>
      </c>
      <c r="P39" s="18">
        <v>-1727718</v>
      </c>
      <c r="Q39" s="99">
        <v>2</v>
      </c>
      <c r="R39" s="99"/>
      <c r="S39" s="96"/>
      <c r="T39" s="96"/>
      <c r="V39" t="s">
        <v>25</v>
      </c>
    </row>
    <row r="40" spans="1:22">
      <c r="A40" s="96"/>
      <c r="B40" s="96"/>
      <c r="C40" s="96" t="s">
        <v>5263</v>
      </c>
      <c r="D40" s="96">
        <v>1000000</v>
      </c>
      <c r="E40" s="96"/>
      <c r="F40" s="96"/>
      <c r="O40" s="99" t="s">
        <v>5240</v>
      </c>
      <c r="P40" s="18">
        <v>-1000000</v>
      </c>
      <c r="Q40" s="99">
        <v>0</v>
      </c>
      <c r="R40" s="99"/>
      <c r="S40" s="96"/>
      <c r="T40" s="96"/>
    </row>
    <row r="41" spans="1:22">
      <c r="A41" s="96"/>
      <c r="B41" s="96"/>
      <c r="C41" s="96" t="s">
        <v>5258</v>
      </c>
      <c r="D41" s="96" t="s">
        <v>5259</v>
      </c>
      <c r="E41" s="96"/>
      <c r="F41" s="96"/>
      <c r="O41" s="99" t="s">
        <v>5240</v>
      </c>
      <c r="P41" s="18">
        <v>-439200</v>
      </c>
      <c r="Q41" s="99">
        <v>1</v>
      </c>
      <c r="R41" s="99"/>
      <c r="S41" s="96"/>
      <c r="T41" s="96"/>
    </row>
    <row r="42" spans="1:22">
      <c r="A42" s="96"/>
      <c r="B42" s="96"/>
      <c r="E42" s="96"/>
      <c r="F42" s="96"/>
      <c r="O42" s="99" t="s">
        <v>5246</v>
      </c>
      <c r="P42" s="18">
        <v>-3631879</v>
      </c>
      <c r="Q42" s="99">
        <v>3</v>
      </c>
      <c r="R42" s="99"/>
      <c r="S42" s="96"/>
      <c r="T42" s="96"/>
    </row>
    <row r="43" spans="1:22">
      <c r="A43" s="96"/>
      <c r="B43" s="96"/>
      <c r="E43" s="96"/>
      <c r="F43" s="96"/>
      <c r="O43" s="99" t="s">
        <v>5274</v>
      </c>
      <c r="P43" s="18">
        <v>-2428921</v>
      </c>
      <c r="Q43" s="99">
        <v>9</v>
      </c>
      <c r="R43" s="99"/>
      <c r="S43" s="96"/>
      <c r="T43" s="96"/>
    </row>
    <row r="44" spans="1:22">
      <c r="A44" s="96"/>
      <c r="B44" s="96"/>
      <c r="E44" s="96"/>
      <c r="F44" s="96"/>
      <c r="O44" s="99" t="s">
        <v>5309</v>
      </c>
      <c r="P44" s="18">
        <v>-500000</v>
      </c>
      <c r="Q44" s="99">
        <v>1</v>
      </c>
      <c r="R44" s="99"/>
      <c r="S44" s="96"/>
      <c r="T44" s="96"/>
    </row>
    <row r="45" spans="1:22">
      <c r="A45" s="96"/>
      <c r="B45" s="96"/>
      <c r="E45" s="96"/>
      <c r="F45" s="96"/>
      <c r="O45" s="99" t="s">
        <v>5310</v>
      </c>
      <c r="P45" s="18">
        <v>-2603</v>
      </c>
      <c r="Q45" s="99">
        <v>0</v>
      </c>
      <c r="R45" s="99" t="s">
        <v>5312</v>
      </c>
      <c r="S45" s="96"/>
      <c r="T45" s="96"/>
    </row>
    <row r="46" spans="1:22">
      <c r="A46" s="96"/>
      <c r="B46" s="96"/>
      <c r="E46" s="96"/>
      <c r="F46" s="96"/>
      <c r="O46" s="99" t="s">
        <v>5310</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5338</v>
      </c>
      <c r="P48" s="18">
        <v>300000</v>
      </c>
      <c r="Q48" s="99">
        <v>3</v>
      </c>
      <c r="R48" s="99"/>
      <c r="S48" s="96"/>
      <c r="T48" s="96"/>
    </row>
    <row r="49" spans="1:20">
      <c r="A49" s="96"/>
      <c r="B49" s="96"/>
      <c r="E49" s="96"/>
      <c r="F49" s="96"/>
      <c r="O49" s="99" t="s">
        <v>5348</v>
      </c>
      <c r="P49" s="18">
        <v>-50000</v>
      </c>
      <c r="Q49" s="99">
        <v>3</v>
      </c>
      <c r="R49" s="99"/>
      <c r="S49" s="96"/>
      <c r="T49" s="96"/>
    </row>
    <row r="50" spans="1:20">
      <c r="A50" s="96"/>
      <c r="B50" s="96"/>
      <c r="E50" s="96"/>
      <c r="F50" s="96"/>
      <c r="O50" s="99" t="s">
        <v>5354</v>
      </c>
      <c r="P50" s="18">
        <v>-1683146</v>
      </c>
      <c r="Q50" s="99">
        <v>10</v>
      </c>
      <c r="R50" s="99"/>
      <c r="S50" s="96"/>
      <c r="T50" s="96"/>
    </row>
    <row r="51" spans="1:20">
      <c r="A51" s="96"/>
      <c r="B51" s="96"/>
      <c r="E51" s="96"/>
      <c r="F51" s="96"/>
      <c r="O51" s="99" t="s">
        <v>5378</v>
      </c>
      <c r="P51" s="18">
        <v>700000</v>
      </c>
      <c r="Q51" s="99">
        <v>1</v>
      </c>
      <c r="R51" s="99"/>
      <c r="S51" s="96"/>
      <c r="T51" s="96"/>
    </row>
    <row r="52" spans="1:20">
      <c r="A52" s="96"/>
      <c r="B52" s="96"/>
      <c r="E52" s="96"/>
      <c r="F52" s="96"/>
      <c r="O52" s="99" t="s">
        <v>5394</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topLeftCell="A78" workbookViewId="0">
      <selection activeCell="E108" sqref="E10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5195</v>
      </c>
    </row>
    <row r="85" spans="1:21">
      <c r="D85" s="18">
        <v>250000</v>
      </c>
      <c r="E85" s="255" t="s">
        <v>5204</v>
      </c>
    </row>
    <row r="86" spans="1:21">
      <c r="D86" s="18">
        <v>-50000</v>
      </c>
      <c r="E86" s="255" t="s">
        <v>5205</v>
      </c>
    </row>
    <row r="87" spans="1:21">
      <c r="D87" s="18">
        <v>-300000</v>
      </c>
      <c r="E87" s="255" t="s">
        <v>5209</v>
      </c>
    </row>
    <row r="88" spans="1:21">
      <c r="D88" s="18">
        <v>-100000</v>
      </c>
      <c r="E88" s="255" t="s">
        <v>5229</v>
      </c>
      <c r="I88" t="s">
        <v>25</v>
      </c>
    </row>
    <row r="89" spans="1:21">
      <c r="D89" s="18">
        <v>-250000</v>
      </c>
      <c r="E89" s="255" t="s">
        <v>5245</v>
      </c>
    </row>
    <row r="90" spans="1:21">
      <c r="D90" s="18">
        <v>-45000</v>
      </c>
      <c r="E90" s="255" t="s">
        <v>5271</v>
      </c>
    </row>
    <row r="91" spans="1:21">
      <c r="D91" s="18">
        <v>3000000</v>
      </c>
      <c r="E91" s="255" t="s">
        <v>5272</v>
      </c>
      <c r="I91" t="s">
        <v>25</v>
      </c>
    </row>
    <row r="92" spans="1:21">
      <c r="D92" s="18">
        <v>-550000</v>
      </c>
      <c r="E92" s="255" t="s">
        <v>5273</v>
      </c>
    </row>
    <row r="93" spans="1:21">
      <c r="D93" s="18">
        <v>-200000</v>
      </c>
      <c r="E93" s="255" t="s">
        <v>5296</v>
      </c>
      <c r="G93" t="s">
        <v>25</v>
      </c>
    </row>
    <row r="94" spans="1:21">
      <c r="D94" s="18">
        <v>-30500</v>
      </c>
      <c r="E94" s="255" t="s">
        <v>5298</v>
      </c>
    </row>
    <row r="95" spans="1:21">
      <c r="D95" s="18">
        <v>2500000</v>
      </c>
      <c r="E95" s="255" t="s">
        <v>5353</v>
      </c>
      <c r="I95" t="s">
        <v>25</v>
      </c>
    </row>
    <row r="96" spans="1:21">
      <c r="D96" s="18">
        <v>-230000</v>
      </c>
      <c r="E96" s="255" t="s">
        <v>5367</v>
      </c>
    </row>
    <row r="97" spans="4:10">
      <c r="D97" s="18">
        <v>-168950</v>
      </c>
      <c r="E97" s="255" t="s">
        <v>4402</v>
      </c>
      <c r="J97" t="s">
        <v>25</v>
      </c>
    </row>
    <row r="98" spans="4:10">
      <c r="D98" s="18">
        <v>-250000</v>
      </c>
      <c r="E98" s="255" t="s">
        <v>5382</v>
      </c>
    </row>
    <row r="99" spans="4:10">
      <c r="D99" s="18">
        <v>500000</v>
      </c>
      <c r="E99" s="255" t="s">
        <v>5397</v>
      </c>
    </row>
    <row r="100" spans="4:10">
      <c r="D100" s="18">
        <v>-520000</v>
      </c>
      <c r="E100" s="255" t="s">
        <v>5396</v>
      </c>
      <c r="J100" t="s">
        <v>25</v>
      </c>
    </row>
    <row r="101" spans="4:10">
      <c r="D101" s="18"/>
      <c r="E101" s="255"/>
    </row>
    <row r="102" spans="4:10">
      <c r="D102" s="18"/>
      <c r="E102" s="255"/>
    </row>
    <row r="103" spans="4:10">
      <c r="D103" s="18"/>
      <c r="E103" s="96"/>
    </row>
    <row r="104" spans="4:10">
      <c r="D104" s="18"/>
      <c r="E104" s="96" t="s">
        <v>25</v>
      </c>
    </row>
    <row r="105" spans="4:10">
      <c r="D105" s="18">
        <f>SUM(D40:D104)</f>
        <v>27611459</v>
      </c>
      <c r="E105" s="96" t="s">
        <v>6</v>
      </c>
    </row>
    <row r="106" spans="4:10">
      <c r="D106" s="96"/>
      <c r="E106" s="96"/>
    </row>
    <row r="107" spans="4:10">
      <c r="D107" s="96"/>
      <c r="E107" s="96"/>
    </row>
    <row r="110" spans="4:10">
      <c r="E110" t="s">
        <v>25</v>
      </c>
    </row>
    <row r="111" spans="4:10">
      <c r="E111" t="s">
        <v>25</v>
      </c>
    </row>
    <row r="112" spans="4:10">
      <c r="E11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5188</v>
      </c>
      <c r="X22" s="41">
        <v>9909620343</v>
      </c>
      <c r="Y22" s="41">
        <v>100</v>
      </c>
      <c r="Z22" s="41"/>
    </row>
    <row r="23" spans="5:35" ht="15.75">
      <c r="O23" s="178"/>
      <c r="P23" s="99" t="s">
        <v>4083</v>
      </c>
      <c r="Q23" s="283" t="s">
        <v>1087</v>
      </c>
      <c r="R23" s="284" t="s">
        <v>1088</v>
      </c>
      <c r="S23" s="283" t="s">
        <v>1089</v>
      </c>
      <c r="T23" s="285" t="s">
        <v>1090</v>
      </c>
      <c r="W23" s="41" t="s">
        <v>5189</v>
      </c>
      <c r="X23" s="41">
        <v>9378807702</v>
      </c>
      <c r="Y23" s="41">
        <v>0</v>
      </c>
      <c r="Z23" s="41"/>
      <c r="AD23" t="s">
        <v>25</v>
      </c>
    </row>
    <row r="24" spans="5:35">
      <c r="O24" s="99"/>
      <c r="P24" s="99"/>
      <c r="Q24" s="283"/>
      <c r="R24" s="284"/>
      <c r="S24" s="283"/>
      <c r="T24" s="285"/>
      <c r="W24" s="41" t="s">
        <v>5220</v>
      </c>
      <c r="X24" s="41"/>
      <c r="Y24" s="41">
        <v>200</v>
      </c>
      <c r="Z24" s="41">
        <v>2</v>
      </c>
    </row>
    <row r="25" spans="5:35">
      <c r="O25" s="173" t="s">
        <v>4139</v>
      </c>
      <c r="P25" s="173">
        <v>2182188507</v>
      </c>
      <c r="Q25" s="174" t="s">
        <v>1091</v>
      </c>
      <c r="R25" s="174" t="s">
        <v>4084</v>
      </c>
      <c r="S25" s="174" t="s">
        <v>4089</v>
      </c>
      <c r="T25" s="174" t="s">
        <v>1092</v>
      </c>
      <c r="W25" s="41" t="s">
        <v>5249</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5181</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5179</v>
      </c>
      <c r="B305" s="113">
        <v>-63857</v>
      </c>
      <c r="C305" s="99">
        <v>0</v>
      </c>
      <c r="D305" s="99">
        <f t="shared" si="15"/>
        <v>69</v>
      </c>
      <c r="E305" s="99">
        <f t="shared" si="16"/>
        <v>0</v>
      </c>
      <c r="F305" s="99">
        <f t="shared" si="9"/>
        <v>-4406133</v>
      </c>
      <c r="G305" s="99"/>
    </row>
    <row r="306" spans="1:11">
      <c r="A306" s="99" t="s">
        <v>5182</v>
      </c>
      <c r="B306" s="113">
        <v>-631</v>
      </c>
      <c r="C306" s="99">
        <v>2</v>
      </c>
      <c r="D306" s="99">
        <f t="shared" si="15"/>
        <v>69</v>
      </c>
      <c r="E306" s="99">
        <f t="shared" si="16"/>
        <v>0</v>
      </c>
      <c r="F306" s="99">
        <f t="shared" si="9"/>
        <v>-43539</v>
      </c>
      <c r="G306" s="99" t="s">
        <v>506</v>
      </c>
      <c r="J306" t="s">
        <v>25</v>
      </c>
    </row>
    <row r="307" spans="1:11">
      <c r="A307" s="99" t="s">
        <v>5187</v>
      </c>
      <c r="B307" s="113">
        <v>-248905</v>
      </c>
      <c r="C307" s="99">
        <v>2</v>
      </c>
      <c r="D307" s="99">
        <f t="shared" ref="D307:D318" si="17">D308+C307</f>
        <v>67</v>
      </c>
      <c r="E307" s="99">
        <f t="shared" ref="E307:E318" si="18">IF(B308&gt;0,1,0)</f>
        <v>0</v>
      </c>
      <c r="F307" s="99">
        <f t="shared" si="9"/>
        <v>-16676635</v>
      </c>
      <c r="G307" s="99"/>
    </row>
    <row r="308" spans="1:11">
      <c r="A308" s="99" t="s">
        <v>5185</v>
      </c>
      <c r="B308" s="113">
        <v>-200000</v>
      </c>
      <c r="C308" s="99">
        <v>0</v>
      </c>
      <c r="D308" s="99">
        <f t="shared" si="17"/>
        <v>65</v>
      </c>
      <c r="E308" s="99">
        <f t="shared" si="18"/>
        <v>0</v>
      </c>
      <c r="F308" s="99">
        <f t="shared" si="9"/>
        <v>-13000000</v>
      </c>
      <c r="G308" s="99"/>
    </row>
    <row r="309" spans="1:11">
      <c r="A309" s="99" t="s">
        <v>5185</v>
      </c>
      <c r="B309" s="113">
        <v>-200000</v>
      </c>
      <c r="C309" s="99">
        <v>3</v>
      </c>
      <c r="D309" s="99">
        <f t="shared" si="17"/>
        <v>65</v>
      </c>
      <c r="E309" s="99">
        <f t="shared" si="18"/>
        <v>0</v>
      </c>
      <c r="F309" s="99">
        <f t="shared" si="9"/>
        <v>-13000000</v>
      </c>
      <c r="G309" s="99"/>
    </row>
    <row r="310" spans="1:11">
      <c r="A310" s="99" t="s">
        <v>5194</v>
      </c>
      <c r="B310" s="113">
        <v>-832590</v>
      </c>
      <c r="C310" s="99">
        <v>0</v>
      </c>
      <c r="D310" s="99">
        <f t="shared" si="17"/>
        <v>62</v>
      </c>
      <c r="E310" s="99">
        <f t="shared" si="18"/>
        <v>0</v>
      </c>
      <c r="F310" s="99">
        <f t="shared" si="9"/>
        <v>-51620580</v>
      </c>
      <c r="G310" s="99"/>
    </row>
    <row r="311" spans="1:11">
      <c r="A311" s="99" t="s">
        <v>5194</v>
      </c>
      <c r="B311" s="113">
        <v>-29950</v>
      </c>
      <c r="C311" s="99">
        <v>1</v>
      </c>
      <c r="D311" s="99">
        <f t="shared" si="17"/>
        <v>62</v>
      </c>
      <c r="E311" s="99">
        <f t="shared" si="18"/>
        <v>0</v>
      </c>
      <c r="F311" s="99">
        <f t="shared" si="9"/>
        <v>-1856900</v>
      </c>
      <c r="G311" s="99"/>
      <c r="K311" t="s">
        <v>25</v>
      </c>
    </row>
    <row r="312" spans="1:11">
      <c r="A312" s="99" t="s">
        <v>5252</v>
      </c>
      <c r="B312" s="113">
        <v>-8500</v>
      </c>
      <c r="C312" s="99">
        <v>1</v>
      </c>
      <c r="D312" s="99">
        <f t="shared" si="17"/>
        <v>61</v>
      </c>
      <c r="E312" s="99">
        <f t="shared" si="18"/>
        <v>0</v>
      </c>
      <c r="F312" s="99">
        <f t="shared" si="9"/>
        <v>-518500</v>
      </c>
      <c r="G312" s="99"/>
    </row>
    <row r="313" spans="1:11">
      <c r="A313" s="99" t="s">
        <v>5216</v>
      </c>
      <c r="B313" s="113">
        <v>-116300</v>
      </c>
      <c r="C313" s="99">
        <v>1</v>
      </c>
      <c r="D313" s="99">
        <f t="shared" si="17"/>
        <v>60</v>
      </c>
      <c r="E313" s="99">
        <f t="shared" si="18"/>
        <v>0</v>
      </c>
      <c r="F313" s="99">
        <f t="shared" si="9"/>
        <v>-6978000</v>
      </c>
      <c r="G313" s="99"/>
    </row>
    <row r="314" spans="1:11">
      <c r="A314" s="99" t="s">
        <v>5199</v>
      </c>
      <c r="B314" s="113">
        <v>-75500</v>
      </c>
      <c r="C314" s="99">
        <v>1</v>
      </c>
      <c r="D314" s="99">
        <f t="shared" si="17"/>
        <v>59</v>
      </c>
      <c r="E314" s="99">
        <f t="shared" si="18"/>
        <v>0</v>
      </c>
      <c r="F314" s="99">
        <f t="shared" ref="F314:F331" si="19">B314*(D314-E314)</f>
        <v>-4454500</v>
      </c>
      <c r="G314" s="99"/>
    </row>
    <row r="315" spans="1:11">
      <c r="A315" s="99" t="s">
        <v>5210</v>
      </c>
      <c r="B315" s="113">
        <v>-331250</v>
      </c>
      <c r="C315" s="99">
        <v>2</v>
      </c>
      <c r="D315" s="99">
        <f t="shared" si="17"/>
        <v>58</v>
      </c>
      <c r="E315" s="99">
        <f t="shared" si="18"/>
        <v>0</v>
      </c>
      <c r="F315" s="99">
        <f t="shared" si="19"/>
        <v>-19212500</v>
      </c>
      <c r="G315" s="99"/>
    </row>
    <row r="316" spans="1:11">
      <c r="A316" s="99" t="s">
        <v>5253</v>
      </c>
      <c r="B316" s="113">
        <v>-39000</v>
      </c>
      <c r="C316" s="99">
        <v>1</v>
      </c>
      <c r="D316" s="99">
        <f t="shared" si="17"/>
        <v>56</v>
      </c>
      <c r="E316" s="99">
        <f t="shared" si="18"/>
        <v>0</v>
      </c>
      <c r="F316" s="99">
        <f t="shared" si="19"/>
        <v>-2184000</v>
      </c>
      <c r="G316" s="99"/>
      <c r="I316" s="114"/>
    </row>
    <row r="317" spans="1:11">
      <c r="A317" s="99" t="s">
        <v>5212</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5221</v>
      </c>
      <c r="B319" s="113">
        <v>-4000</v>
      </c>
      <c r="C319" s="99">
        <v>11</v>
      </c>
      <c r="D319" s="99">
        <f t="shared" ref="D319:D326" si="20">D320+C319</f>
        <v>51</v>
      </c>
      <c r="E319" s="99">
        <f t="shared" ref="E319:E326" si="21">IF(B320&gt;0,1,0)</f>
        <v>1</v>
      </c>
      <c r="F319" s="99">
        <f t="shared" si="19"/>
        <v>-200000</v>
      </c>
      <c r="G319" s="99"/>
    </row>
    <row r="320" spans="1:11">
      <c r="A320" s="99" t="s">
        <v>5254</v>
      </c>
      <c r="B320" s="113">
        <v>6300000</v>
      </c>
      <c r="C320" s="99">
        <v>1</v>
      </c>
      <c r="D320" s="99">
        <f t="shared" si="20"/>
        <v>40</v>
      </c>
      <c r="E320" s="99">
        <f t="shared" si="21"/>
        <v>0</v>
      </c>
      <c r="F320" s="99">
        <f t="shared" si="19"/>
        <v>252000000</v>
      </c>
      <c r="G320" s="99"/>
    </row>
    <row r="321" spans="1:9">
      <c r="A321" s="99" t="s">
        <v>5283</v>
      </c>
      <c r="B321" s="113">
        <v>-6000000</v>
      </c>
      <c r="C321" s="99">
        <v>2</v>
      </c>
      <c r="D321" s="99">
        <f t="shared" si="20"/>
        <v>39</v>
      </c>
      <c r="E321" s="99">
        <f t="shared" si="21"/>
        <v>0</v>
      </c>
      <c r="F321" s="99">
        <f t="shared" si="19"/>
        <v>-234000000</v>
      </c>
      <c r="G321" s="99"/>
    </row>
    <row r="322" spans="1:9">
      <c r="A322" s="99" t="s">
        <v>5279</v>
      </c>
      <c r="B322" s="113">
        <v>-295000</v>
      </c>
      <c r="C322" s="99">
        <v>0</v>
      </c>
      <c r="D322" s="99">
        <f t="shared" si="20"/>
        <v>37</v>
      </c>
      <c r="E322" s="99">
        <f t="shared" si="21"/>
        <v>1</v>
      </c>
      <c r="F322" s="99">
        <f t="shared" si="19"/>
        <v>-10620000</v>
      </c>
      <c r="G322" s="99"/>
    </row>
    <row r="323" spans="1:9">
      <c r="A323" s="99" t="s">
        <v>5279</v>
      </c>
      <c r="B323" s="113">
        <v>483</v>
      </c>
      <c r="C323" s="99">
        <v>8</v>
      </c>
      <c r="D323" s="99">
        <f t="shared" si="20"/>
        <v>37</v>
      </c>
      <c r="E323" s="99">
        <f t="shared" si="21"/>
        <v>1</v>
      </c>
      <c r="F323" s="99">
        <f t="shared" si="19"/>
        <v>17388</v>
      </c>
      <c r="G323" s="99" t="s">
        <v>694</v>
      </c>
      <c r="I323" t="s">
        <v>25</v>
      </c>
    </row>
    <row r="324" spans="1:9">
      <c r="A324" s="99" t="s">
        <v>5309</v>
      </c>
      <c r="B324" s="113">
        <v>1700000</v>
      </c>
      <c r="C324" s="99">
        <v>0</v>
      </c>
      <c r="D324" s="99">
        <f t="shared" si="20"/>
        <v>29</v>
      </c>
      <c r="E324" s="99">
        <f t="shared" si="21"/>
        <v>0</v>
      </c>
      <c r="F324" s="99">
        <f t="shared" si="19"/>
        <v>49300000</v>
      </c>
      <c r="G324" s="99"/>
    </row>
    <row r="325" spans="1:9">
      <c r="A325" s="99" t="s">
        <v>5309</v>
      </c>
      <c r="B325" s="113">
        <v>-53000</v>
      </c>
      <c r="C325" s="99">
        <v>1</v>
      </c>
      <c r="D325" s="99">
        <f t="shared" si="20"/>
        <v>29</v>
      </c>
      <c r="E325" s="99">
        <f t="shared" si="21"/>
        <v>0</v>
      </c>
      <c r="F325" s="99">
        <f t="shared" si="19"/>
        <v>-1537000</v>
      </c>
      <c r="G325" s="99"/>
    </row>
    <row r="326" spans="1:9">
      <c r="A326" s="99" t="s">
        <v>5310</v>
      </c>
      <c r="B326" s="113">
        <v>-1300000</v>
      </c>
      <c r="C326" s="99">
        <v>0</v>
      </c>
      <c r="D326" s="99">
        <f t="shared" si="20"/>
        <v>28</v>
      </c>
      <c r="E326" s="99">
        <f t="shared" si="21"/>
        <v>0</v>
      </c>
      <c r="F326" s="99">
        <f t="shared" si="19"/>
        <v>-36400000</v>
      </c>
      <c r="G326" s="99"/>
      <c r="I326" t="s">
        <v>25</v>
      </c>
    </row>
    <row r="327" spans="1:9">
      <c r="A327" s="99" t="s">
        <v>5310</v>
      </c>
      <c r="B327" s="113">
        <v>-41500</v>
      </c>
      <c r="C327" s="99">
        <v>1</v>
      </c>
      <c r="D327" s="99">
        <f t="shared" ref="D327:D331" si="22">D328+C327</f>
        <v>28</v>
      </c>
      <c r="E327" s="99">
        <f t="shared" ref="E327:E331" si="23">IF(B328&gt;0,1,0)</f>
        <v>0</v>
      </c>
      <c r="F327" s="99">
        <f t="shared" si="19"/>
        <v>-1162000</v>
      </c>
      <c r="G327" s="99"/>
    </row>
    <row r="328" spans="1:9">
      <c r="A328" s="99" t="s">
        <v>5316</v>
      </c>
      <c r="B328" s="113">
        <v>-57700</v>
      </c>
      <c r="C328" s="99">
        <v>3</v>
      </c>
      <c r="D328" s="99">
        <f t="shared" si="22"/>
        <v>27</v>
      </c>
      <c r="E328" s="99">
        <f t="shared" si="23"/>
        <v>0</v>
      </c>
      <c r="F328" s="99">
        <f t="shared" si="19"/>
        <v>-1557900</v>
      </c>
      <c r="G328" s="99"/>
    </row>
    <row r="329" spans="1:9">
      <c r="A329" s="99" t="s">
        <v>5319</v>
      </c>
      <c r="B329" s="113">
        <v>-5600</v>
      </c>
      <c r="C329" s="99">
        <v>1</v>
      </c>
      <c r="D329" s="99">
        <f t="shared" si="22"/>
        <v>24</v>
      </c>
      <c r="E329" s="99">
        <f t="shared" si="23"/>
        <v>0</v>
      </c>
      <c r="F329" s="99">
        <f t="shared" si="19"/>
        <v>-134400</v>
      </c>
      <c r="G329" s="99"/>
    </row>
    <row r="330" spans="1:9">
      <c r="A330" s="99" t="s">
        <v>5321</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5341</v>
      </c>
      <c r="B333" s="113">
        <v>-78508</v>
      </c>
      <c r="C333" s="99">
        <v>2</v>
      </c>
      <c r="D333" s="99">
        <f t="shared" si="24"/>
        <v>19</v>
      </c>
      <c r="E333" s="99">
        <f t="shared" si="25"/>
        <v>0</v>
      </c>
      <c r="F333" s="99">
        <f t="shared" si="26"/>
        <v>-1491652</v>
      </c>
      <c r="G333" s="99"/>
    </row>
    <row r="334" spans="1:9">
      <c r="A334" s="99" t="s">
        <v>5342</v>
      </c>
      <c r="B334" s="113">
        <v>-2000</v>
      </c>
      <c r="C334" s="99">
        <v>4</v>
      </c>
      <c r="D334" s="99">
        <f t="shared" ref="D334:D357" si="27">D335+C334</f>
        <v>17</v>
      </c>
      <c r="E334" s="99">
        <f t="shared" ref="E334:E357" si="28">IF(B335&gt;0,1,0)</f>
        <v>1</v>
      </c>
      <c r="F334" s="99">
        <f t="shared" ref="F334:F357" si="29">B334*(D334-E334)</f>
        <v>-32000</v>
      </c>
      <c r="G334" s="99"/>
    </row>
    <row r="335" spans="1:9">
      <c r="A335" s="99" t="s">
        <v>5348</v>
      </c>
      <c r="B335" s="113">
        <v>2200472</v>
      </c>
      <c r="C335" s="99">
        <v>1</v>
      </c>
      <c r="D335" s="99">
        <f t="shared" si="27"/>
        <v>13</v>
      </c>
      <c r="E335" s="99">
        <f t="shared" si="28"/>
        <v>0</v>
      </c>
      <c r="F335" s="99">
        <f t="shared" si="29"/>
        <v>28606136</v>
      </c>
      <c r="G335" s="99"/>
      <c r="H335" t="s">
        <v>25</v>
      </c>
    </row>
    <row r="336" spans="1:9">
      <c r="A336" s="99" t="s">
        <v>5357</v>
      </c>
      <c r="B336" s="113">
        <v>-28000</v>
      </c>
      <c r="C336" s="99">
        <v>2</v>
      </c>
      <c r="D336" s="99">
        <f t="shared" si="27"/>
        <v>12</v>
      </c>
      <c r="E336" s="99">
        <f t="shared" si="28"/>
        <v>1</v>
      </c>
      <c r="F336" s="99">
        <f t="shared" si="29"/>
        <v>-308000</v>
      </c>
      <c r="G336" s="99"/>
    </row>
    <row r="337" spans="1:13">
      <c r="A337" s="99" t="s">
        <v>5354</v>
      </c>
      <c r="B337" s="113">
        <v>2500000</v>
      </c>
      <c r="C337" s="99">
        <v>0</v>
      </c>
      <c r="D337" s="99">
        <f t="shared" si="27"/>
        <v>10</v>
      </c>
      <c r="E337" s="99">
        <f t="shared" si="28"/>
        <v>0</v>
      </c>
      <c r="F337" s="99">
        <f t="shared" si="29"/>
        <v>25000000</v>
      </c>
      <c r="G337" s="99"/>
    </row>
    <row r="338" spans="1:13">
      <c r="A338" s="99" t="s">
        <v>5354</v>
      </c>
      <c r="B338" s="113">
        <v>-407500</v>
      </c>
      <c r="C338" s="99">
        <v>2</v>
      </c>
      <c r="D338" s="99">
        <f t="shared" si="27"/>
        <v>10</v>
      </c>
      <c r="E338" s="99">
        <f t="shared" si="28"/>
        <v>0</v>
      </c>
      <c r="F338" s="99">
        <f t="shared" si="29"/>
        <v>-4075000</v>
      </c>
      <c r="G338" s="99"/>
    </row>
    <row r="339" spans="1:13">
      <c r="A339" s="99" t="s">
        <v>5358</v>
      </c>
      <c r="B339" s="113">
        <v>-3600</v>
      </c>
      <c r="C339" s="99">
        <v>1</v>
      </c>
      <c r="D339" s="99">
        <f t="shared" si="27"/>
        <v>8</v>
      </c>
      <c r="E339" s="99">
        <f t="shared" si="28"/>
        <v>0</v>
      </c>
      <c r="F339" s="99">
        <f t="shared" si="29"/>
        <v>-28800</v>
      </c>
      <c r="G339" s="99"/>
    </row>
    <row r="340" spans="1:13">
      <c r="A340" s="99" t="s">
        <v>5369</v>
      </c>
      <c r="B340" s="113">
        <v>-170094</v>
      </c>
      <c r="C340" s="99">
        <v>1</v>
      </c>
      <c r="D340" s="99">
        <f t="shared" si="27"/>
        <v>7</v>
      </c>
      <c r="E340" s="99">
        <f t="shared" si="28"/>
        <v>0</v>
      </c>
      <c r="F340" s="99">
        <f t="shared" si="29"/>
        <v>-1190658</v>
      </c>
      <c r="G340" s="99"/>
      <c r="J340" t="s">
        <v>25</v>
      </c>
    </row>
    <row r="341" spans="1:13">
      <c r="A341" s="99" t="s">
        <v>5360</v>
      </c>
      <c r="B341" s="113">
        <v>-51730</v>
      </c>
      <c r="C341" s="99">
        <v>1</v>
      </c>
      <c r="D341" s="99">
        <f t="shared" si="27"/>
        <v>6</v>
      </c>
      <c r="E341" s="99">
        <f t="shared" si="28"/>
        <v>0</v>
      </c>
      <c r="F341" s="99">
        <f t="shared" si="29"/>
        <v>-310380</v>
      </c>
      <c r="G341" s="99"/>
    </row>
    <row r="342" spans="1:13">
      <c r="A342" s="99" t="s">
        <v>5370</v>
      </c>
      <c r="B342" s="113">
        <v>-200000</v>
      </c>
      <c r="C342" s="99">
        <v>2</v>
      </c>
      <c r="D342" s="99">
        <f t="shared" si="27"/>
        <v>5</v>
      </c>
      <c r="E342" s="99">
        <f t="shared" si="28"/>
        <v>0</v>
      </c>
      <c r="F342" s="99">
        <f t="shared" si="29"/>
        <v>-1000000</v>
      </c>
      <c r="G342" s="99"/>
    </row>
    <row r="343" spans="1:13">
      <c r="A343" s="99" t="s">
        <v>5308</v>
      </c>
      <c r="B343" s="113">
        <v>-3000000</v>
      </c>
      <c r="C343" s="99">
        <v>0</v>
      </c>
      <c r="D343" s="99">
        <f t="shared" si="27"/>
        <v>3</v>
      </c>
      <c r="E343" s="99">
        <f t="shared" si="28"/>
        <v>0</v>
      </c>
      <c r="F343" s="99">
        <f t="shared" si="29"/>
        <v>-9000000</v>
      </c>
      <c r="G343" s="99"/>
    </row>
    <row r="344" spans="1:13">
      <c r="A344" s="99" t="s">
        <v>5308</v>
      </c>
      <c r="B344" s="113">
        <v>-39726</v>
      </c>
      <c r="C344" s="99">
        <v>1</v>
      </c>
      <c r="D344" s="99">
        <f t="shared" si="27"/>
        <v>3</v>
      </c>
      <c r="E344" s="99">
        <f t="shared" si="28"/>
        <v>0</v>
      </c>
      <c r="F344" s="99">
        <f t="shared" si="29"/>
        <v>-119178</v>
      </c>
      <c r="G344" s="99"/>
      <c r="M344" t="s">
        <v>25</v>
      </c>
    </row>
    <row r="345" spans="1:13">
      <c r="A345" s="99" t="s">
        <v>5373</v>
      </c>
      <c r="B345" s="113">
        <v>-566500</v>
      </c>
      <c r="C345" s="99">
        <v>1</v>
      </c>
      <c r="D345" s="99">
        <f t="shared" si="27"/>
        <v>2</v>
      </c>
      <c r="E345" s="99">
        <f t="shared" si="28"/>
        <v>0</v>
      </c>
      <c r="F345" s="99">
        <f t="shared" si="29"/>
        <v>-1133000</v>
      </c>
      <c r="G345" s="99"/>
      <c r="K345" t="s">
        <v>25</v>
      </c>
    </row>
    <row r="346" spans="1:13">
      <c r="A346" s="99" t="s">
        <v>5375</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1"/>
  <sheetViews>
    <sheetView tabSelected="1" topLeftCell="M21" zoomScale="85" zoomScaleNormal="85" workbookViewId="0">
      <selection activeCell="P51" sqref="P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767422096.10741603</v>
      </c>
      <c r="M21" s="168" t="s">
        <v>4292</v>
      </c>
      <c r="N21" s="113">
        <f t="shared" ref="N21:N25" si="9">O21*P21</f>
        <v>491808081.40000004</v>
      </c>
      <c r="O21" s="99">
        <v>1638814</v>
      </c>
      <c r="P21" s="185">
        <f>P47</f>
        <v>300.10000000000002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3655358.5</v>
      </c>
      <c r="O22" s="99">
        <v>655</v>
      </c>
      <c r="P22" s="185">
        <f>P44</f>
        <v>5580.7</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4990498.1000000006</v>
      </c>
      <c r="O23" s="99">
        <v>791</v>
      </c>
      <c r="P23" s="185">
        <f>P46</f>
        <v>6309.1</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657181244.70741606</v>
      </c>
      <c r="G24" s="95">
        <f t="shared" si="0"/>
        <v>-376874899.32547742</v>
      </c>
      <c r="H24" s="11"/>
      <c r="I24" s="96"/>
      <c r="J24" s="96"/>
      <c r="K24" s="213"/>
      <c r="L24" s="117"/>
      <c r="M24" s="213" t="s">
        <v>5214</v>
      </c>
      <c r="N24" s="113">
        <f t="shared" si="9"/>
        <v>0</v>
      </c>
      <c r="O24" s="99">
        <v>0</v>
      </c>
      <c r="P24" s="185">
        <f>P48</f>
        <v>3300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98'!D105</f>
        <v>-27611459</v>
      </c>
      <c r="M25" s="213" t="s">
        <v>4398</v>
      </c>
      <c r="N25" s="113">
        <f t="shared" si="9"/>
        <v>121369392</v>
      </c>
      <c r="O25" s="99">
        <v>156808</v>
      </c>
      <c r="P25" s="185">
        <f>P45</f>
        <v>774</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1554192</v>
      </c>
      <c r="O28" s="69">
        <v>2008</v>
      </c>
      <c r="P28" s="99">
        <f>P45</f>
        <v>774</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346003.39999999997</v>
      </c>
      <c r="O29" s="69">
        <v>62</v>
      </c>
      <c r="P29" s="99">
        <f>P44</f>
        <v>5580.7</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7955775.1000000006</v>
      </c>
      <c r="O30" s="69">
        <v>1261</v>
      </c>
      <c r="P30" s="99">
        <f>P46</f>
        <v>6309.1</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116601154.10000001</v>
      </c>
      <c r="O31" s="69">
        <v>388541</v>
      </c>
      <c r="P31" s="99">
        <f>P47</f>
        <v>300.10000000000002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-767422096.10741603</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1250</v>
      </c>
      <c r="O42" s="114"/>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5366</v>
      </c>
      <c r="L44" s="117">
        <f>-22884*P47</f>
        <v>-6867488.4000000004</v>
      </c>
      <c r="M44" s="21" t="s">
        <v>4380</v>
      </c>
      <c r="N44" s="117">
        <f t="shared" ref="N44:N50" si="16">O44*P44</f>
        <v>0</v>
      </c>
      <c r="O44" s="69">
        <v>0</v>
      </c>
      <c r="P44" s="69">
        <v>5580.7</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5339</v>
      </c>
      <c r="L45" s="117">
        <f>-1200*P50</f>
        <v>-14640000</v>
      </c>
      <c r="M45" s="19" t="s">
        <v>4398</v>
      </c>
      <c r="N45" s="117">
        <f t="shared" si="16"/>
        <v>71776890</v>
      </c>
      <c r="O45" s="69">
        <v>92735</v>
      </c>
      <c r="P45" s="69">
        <v>774</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20037701.600000001</v>
      </c>
      <c r="O46" s="69">
        <v>3176</v>
      </c>
      <c r="P46" s="69">
        <v>6309.1</v>
      </c>
      <c r="Q46" s="169">
        <v>25661167</v>
      </c>
      <c r="R46" s="213" t="s">
        <v>5104</v>
      </c>
      <c r="S46" s="197">
        <f>S45-1</f>
        <v>89</v>
      </c>
      <c r="T46" s="213" t="s">
        <v>5219</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5365</v>
      </c>
      <c r="L47" s="117">
        <f>130165*P47</f>
        <v>39062516.5</v>
      </c>
      <c r="M47" s="19" t="s">
        <v>4174</v>
      </c>
      <c r="N47" s="113">
        <f t="shared" si="16"/>
        <v>897622207.70000005</v>
      </c>
      <c r="O47" s="99">
        <v>2991077</v>
      </c>
      <c r="P47" s="99">
        <v>300.10000000000002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5214</v>
      </c>
      <c r="N48" s="113">
        <f t="shared" si="16"/>
        <v>0</v>
      </c>
      <c r="O48" s="99">
        <v>0</v>
      </c>
      <c r="P48" s="99">
        <v>3300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430000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5213</v>
      </c>
      <c r="N50" s="117">
        <f t="shared" si="16"/>
        <v>0</v>
      </c>
      <c r="O50" s="74">
        <v>0</v>
      </c>
      <c r="P50" s="74">
        <v>12200</v>
      </c>
      <c r="Q50" s="169">
        <v>1866540</v>
      </c>
      <c r="R50" s="213" t="s">
        <v>5179</v>
      </c>
      <c r="S50" s="197">
        <f>S49-1</f>
        <v>46</v>
      </c>
      <c r="T50" s="213" t="s">
        <v>5180</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5183</v>
      </c>
      <c r="S51" s="197">
        <f>S50-3</f>
        <v>43</v>
      </c>
      <c r="T51" s="213" t="s">
        <v>5184</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5183</v>
      </c>
      <c r="S52" s="197">
        <f>S51</f>
        <v>43</v>
      </c>
      <c r="T52" s="213" t="s">
        <v>5356</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5190</v>
      </c>
      <c r="S53" s="197">
        <f>S52-2</f>
        <v>41</v>
      </c>
      <c r="T53" s="213" t="s">
        <v>5191</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5192</v>
      </c>
      <c r="S54" s="197">
        <f>S53-1</f>
        <v>40</v>
      </c>
      <c r="T54" s="213" t="s">
        <v>5193</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5212</v>
      </c>
      <c r="S55" s="197">
        <f>S54-8</f>
        <v>32</v>
      </c>
      <c r="T55" s="213" t="s">
        <v>5215</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5218</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-23987756.91081734</v>
      </c>
      <c r="Q57" s="169">
        <v>1773978</v>
      </c>
      <c r="R57" s="213" t="s">
        <v>5221</v>
      </c>
      <c r="S57" s="197">
        <f>S56-1</f>
        <v>28</v>
      </c>
      <c r="T57" s="213" t="s">
        <v>5223</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5221</v>
      </c>
      <c r="S58" s="197">
        <f>S57</f>
        <v>28</v>
      </c>
      <c r="T58" s="213" t="s">
        <v>5224</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5230</v>
      </c>
      <c r="S59" s="197">
        <f>S58-6</f>
        <v>22</v>
      </c>
      <c r="T59" s="213" t="s">
        <v>5232</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657181244.70741606</v>
      </c>
      <c r="M60" s="168"/>
      <c r="N60" s="113">
        <f>SUM(N16:N59)</f>
        <v>886315019.88176668</v>
      </c>
      <c r="Q60" s="169">
        <v>716284</v>
      </c>
      <c r="R60" s="213" t="s">
        <v>5235</v>
      </c>
      <c r="S60" s="197">
        <f>S59-1</f>
        <v>21</v>
      </c>
      <c r="T60" s="213" t="s">
        <v>5237</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5240</v>
      </c>
      <c r="S61" s="197">
        <f>S60-2</f>
        <v>19</v>
      </c>
      <c r="T61" s="213" t="s">
        <v>5250</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757181244.70741606</v>
      </c>
      <c r="M62" s="113"/>
      <c r="N62" s="168"/>
      <c r="O62" s="115"/>
      <c r="P62" s="115"/>
      <c r="Q62" s="169">
        <v>479691</v>
      </c>
      <c r="R62" s="213" t="s">
        <v>5274</v>
      </c>
      <c r="S62" s="197">
        <f>S61-4</f>
        <v>15</v>
      </c>
      <c r="T62" s="213" t="s">
        <v>5275</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5290</v>
      </c>
      <c r="S63" s="197">
        <f>S62-3</f>
        <v>12</v>
      </c>
      <c r="T63" s="213" t="s">
        <v>5291</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5304</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5310</v>
      </c>
      <c r="S65" s="197">
        <f>S64-3</f>
        <v>5</v>
      </c>
      <c r="T65" s="213" t="s">
        <v>5313</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5310</v>
      </c>
      <c r="S66" s="197">
        <f>S65</f>
        <v>5</v>
      </c>
      <c r="T66" s="213" t="s">
        <v>5314</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5327</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5331</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5338</v>
      </c>
      <c r="S69" s="197">
        <f>S68-5</f>
        <v>-7</v>
      </c>
      <c r="T69" s="213" t="s">
        <v>5344</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5345</v>
      </c>
      <c r="S70" s="197">
        <f>S69-1</f>
        <v>-8</v>
      </c>
      <c r="T70" s="213" t="s">
        <v>5346</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5348</v>
      </c>
      <c r="S71" s="197">
        <f>S70-2</f>
        <v>-10</v>
      </c>
      <c r="T71" s="213" t="s">
        <v>5350</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5354</v>
      </c>
      <c r="S72" s="197">
        <f>S71-3</f>
        <v>-13</v>
      </c>
      <c r="T72" s="213" t="s">
        <v>5390</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5368</v>
      </c>
      <c r="O73" t="s">
        <v>25</v>
      </c>
      <c r="P73" s="115"/>
      <c r="Q73" s="169">
        <v>459771</v>
      </c>
      <c r="R73" s="213" t="s">
        <v>5354</v>
      </c>
      <c r="S73" s="197">
        <f>S72</f>
        <v>-13</v>
      </c>
      <c r="T73" s="213" t="s">
        <v>5355</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5018432</v>
      </c>
      <c r="N74" s="113">
        <f>M74*P47</f>
        <v>1506031443.2</v>
      </c>
      <c r="P74" s="115"/>
      <c r="Q74" s="169">
        <v>101835</v>
      </c>
      <c r="R74" s="213" t="s">
        <v>5358</v>
      </c>
      <c r="S74" s="197">
        <f>S73-2</f>
        <v>-15</v>
      </c>
      <c r="T74" s="213" t="s">
        <v>5359</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5360</v>
      </c>
      <c r="S75" s="197">
        <f>S74-2</f>
        <v>-17</v>
      </c>
      <c r="T75" s="213" t="s">
        <v>5363</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5375</v>
      </c>
      <c r="S76" s="197">
        <f>S75-5</f>
        <v>-22</v>
      </c>
      <c r="T76" s="213" t="s">
        <v>5377</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192525536</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M91" t="s">
        <v>5388</v>
      </c>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M92" t="s">
        <v>5395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14328.557147617459</v>
      </c>
      <c r="G102" s="199">
        <f>P47</f>
        <v>300.10000000000002</v>
      </c>
      <c r="H102" s="199" t="s">
        <v>4773</v>
      </c>
      <c r="I102" s="199" t="s">
        <v>4772</v>
      </c>
      <c r="J102" s="214" t="s">
        <v>4234</v>
      </c>
      <c r="K102" s="199">
        <v>175</v>
      </c>
      <c r="L102" s="215">
        <f t="shared" ref="L102:L107" si="28">K102*$L$110</f>
        <v>752500000</v>
      </c>
      <c r="M102" s="215">
        <f>N21+N31+N47</f>
        <v>1506031443.2</v>
      </c>
      <c r="N102" s="183">
        <f t="shared" ref="N102:N106" si="29">L102-M102</f>
        <v>-753531443.20000005</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5194</v>
      </c>
      <c r="S103" s="197">
        <f>S102-36</f>
        <v>39</v>
      </c>
      <c r="T103" s="189" t="s">
        <v>5196</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5194</v>
      </c>
      <c r="S104" s="197">
        <f>S103</f>
        <v>39</v>
      </c>
      <c r="T104" s="189" t="s">
        <v>5197</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5555.5555555555557</v>
      </c>
      <c r="G105" s="213">
        <f>P45</f>
        <v>774</v>
      </c>
      <c r="H105" s="213" t="s">
        <v>4665</v>
      </c>
      <c r="I105" s="213" t="s">
        <v>4664</v>
      </c>
      <c r="J105" s="32" t="s">
        <v>4398</v>
      </c>
      <c r="K105" s="213">
        <v>43</v>
      </c>
      <c r="L105" s="1">
        <f t="shared" si="28"/>
        <v>184900000</v>
      </c>
      <c r="M105" s="1">
        <f>N45+N25</f>
        <v>193146282</v>
      </c>
      <c r="N105" s="113">
        <f t="shared" si="29"/>
        <v>-8246282</v>
      </c>
      <c r="Q105" s="169">
        <v>108400</v>
      </c>
      <c r="R105" s="19" t="s">
        <v>5199</v>
      </c>
      <c r="S105" s="197">
        <f>S104-3</f>
        <v>36</v>
      </c>
      <c r="T105" s="189" t="s">
        <v>5200</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4300000</v>
      </c>
      <c r="M106" s="215">
        <f>0</f>
        <v>0</v>
      </c>
      <c r="N106" s="183">
        <f t="shared" si="29"/>
        <v>4300000</v>
      </c>
      <c r="Q106" s="169">
        <v>11503451</v>
      </c>
      <c r="R106" s="19" t="s">
        <v>5240</v>
      </c>
      <c r="S106" s="197">
        <f>S105-17</f>
        <v>19</v>
      </c>
      <c r="T106" s="189" t="s">
        <v>5241</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5371</v>
      </c>
      <c r="K107" s="191">
        <v>182</v>
      </c>
      <c r="L107" s="258">
        <f t="shared" si="28"/>
        <v>782600000</v>
      </c>
      <c r="M107" s="258">
        <v>0</v>
      </c>
      <c r="N107" s="86">
        <f>L107-M107</f>
        <v>782600000</v>
      </c>
      <c r="Q107" s="169">
        <v>6153126</v>
      </c>
      <c r="R107" s="19" t="s">
        <v>5274</v>
      </c>
      <c r="S107" s="197">
        <f>S106-4</f>
        <v>15</v>
      </c>
      <c r="T107" s="189" t="s">
        <v>5276</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5279</v>
      </c>
      <c r="S108" s="197">
        <f>S107-1</f>
        <v>14</v>
      </c>
      <c r="T108" s="189" t="s">
        <v>5281</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401</v>
      </c>
      <c r="L109" s="215"/>
      <c r="M109" s="215"/>
      <c r="N109" s="183"/>
      <c r="Q109" s="169">
        <v>360926</v>
      </c>
      <c r="R109" s="19" t="s">
        <v>5290</v>
      </c>
      <c r="S109" s="197">
        <f>S108-2</f>
        <v>12</v>
      </c>
      <c r="T109" s="189" t="s">
        <v>5293</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4300000</v>
      </c>
      <c r="M110" s="1">
        <f>K110*L110</f>
        <v>0</v>
      </c>
      <c r="N110" s="113">
        <f>SUM(N102:N108)-M110</f>
        <v>55122274.799999952</v>
      </c>
      <c r="P110" s="114"/>
      <c r="Q110" s="169">
        <v>232964</v>
      </c>
      <c r="R110" s="19" t="s">
        <v>5310</v>
      </c>
      <c r="S110" s="197">
        <f>S109-7</f>
        <v>5</v>
      </c>
      <c r="T110" s="189" t="s">
        <v>5311</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5321</v>
      </c>
      <c r="S111" s="197">
        <f>S110-5</f>
        <v>0</v>
      </c>
      <c r="T111" s="189" t="s">
        <v>5323</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5345</v>
      </c>
      <c r="S112" s="197">
        <f>S111-8</f>
        <v>-8</v>
      </c>
      <c r="T112" s="189" t="s">
        <v>5347</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5360</v>
      </c>
      <c r="S113" s="197">
        <f>S112-9</f>
        <v>-17</v>
      </c>
      <c r="T113" s="189" t="s">
        <v>5362</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34639304.600000009</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5308</v>
      </c>
      <c r="I117" s="213" t="s">
        <v>5297</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300.10000000000002</v>
      </c>
      <c r="H119" s="213" t="s">
        <v>4234</v>
      </c>
      <c r="I119" s="213">
        <v>129827</v>
      </c>
      <c r="J119" s="1">
        <f>I119*G119</f>
        <v>38961082.700000003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774</v>
      </c>
      <c r="H120" s="213" t="s">
        <v>4398</v>
      </c>
      <c r="I120" s="213">
        <v>1205</v>
      </c>
      <c r="J120" s="1">
        <f t="shared" ref="J120:J121" si="33">I120*G120</f>
        <v>932670</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6309.1</v>
      </c>
      <c r="H121" s="213" t="s">
        <v>4384</v>
      </c>
      <c r="I121" s="213">
        <v>1399</v>
      </c>
      <c r="J121" s="1">
        <f t="shared" si="33"/>
        <v>8826430.9000000004</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28797768.600000001</v>
      </c>
      <c r="J123" s="1">
        <f>SUM(J119:J122)</f>
        <v>48720183.600000001</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5225</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300.10000000000002</v>
      </c>
      <c r="H127" s="213" t="s">
        <v>4234</v>
      </c>
      <c r="I127" s="213">
        <v>50896</v>
      </c>
      <c r="J127" s="1">
        <f>G127*I127</f>
        <v>15273889.600000001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774</v>
      </c>
      <c r="H128" s="213" t="s">
        <v>4398</v>
      </c>
      <c r="I128" s="213">
        <v>2304</v>
      </c>
      <c r="J128" s="1">
        <f t="shared" ref="J128:J129" si="40">G128*I128</f>
        <v>1783296</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5580.7</v>
      </c>
      <c r="H129" s="213" t="s">
        <v>4380</v>
      </c>
      <c r="I129" s="213">
        <v>715</v>
      </c>
      <c r="J129" s="1">
        <f t="shared" si="40"/>
        <v>3990200.5</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4728243.1000000015</v>
      </c>
      <c r="J131" s="1">
        <f>SUM(J127:J130)</f>
        <v>21047386.100000001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5364</v>
      </c>
      <c r="I134" s="213" t="s">
        <v>5226</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300.10000000000002</v>
      </c>
      <c r="H135" s="213" t="s">
        <v>4234</v>
      </c>
      <c r="I135" s="213">
        <v>46582</v>
      </c>
      <c r="J135" s="1">
        <f>G135*I135</f>
        <v>13979258.200000001</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4184258.200000003</v>
      </c>
      <c r="J137" s="1">
        <f>SUM(J135:J136)</f>
        <v>23979258.200000003</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5326</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300.10000000000002</v>
      </c>
      <c r="H141" s="99" t="s">
        <v>4234</v>
      </c>
      <c r="I141" s="99">
        <v>39042</v>
      </c>
      <c r="J141" s="1">
        <f>G141*I141</f>
        <v>11716504.200000001</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6309.1</v>
      </c>
      <c r="H142" s="99" t="s">
        <v>4384</v>
      </c>
      <c r="I142" s="99">
        <v>1150</v>
      </c>
      <c r="J142" s="1">
        <f>G142*I142</f>
        <v>7255465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-1028030.799999997</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5247</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0"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79" si="49">V163*(1+$W$19/100)</f>
        <v>260.00318327671238</v>
      </c>
      <c r="X163" s="32">
        <f t="shared" ref="X163:X179"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5374</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5231</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298455</v>
      </c>
      <c r="R168" s="213" t="s">
        <v>5246</v>
      </c>
      <c r="S168" s="213">
        <f>S167-30</f>
        <v>18</v>
      </c>
      <c r="T168" s="213" t="s">
        <v>5248</v>
      </c>
      <c r="U168" s="213">
        <v>199</v>
      </c>
      <c r="V168" s="99">
        <f t="shared" si="46"/>
        <v>204.77263561643838</v>
      </c>
      <c r="W168" s="32">
        <f t="shared" si="49"/>
        <v>208.86808832876716</v>
      </c>
      <c r="X168" s="32">
        <f t="shared" si="50"/>
        <v>212.96354104109591</v>
      </c>
      <c r="Y168" t="s">
        <v>25</v>
      </c>
      <c r="AH168" s="99">
        <v>148</v>
      </c>
      <c r="AI168" s="113" t="s">
        <v>5003</v>
      </c>
      <c r="AJ168" s="113">
        <v>1000000</v>
      </c>
      <c r="AK168" s="99">
        <v>15</v>
      </c>
      <c r="AL168" s="20">
        <f t="shared" si="47"/>
        <v>154</v>
      </c>
      <c r="AM168" s="117">
        <f t="shared" si="48"/>
        <v>154000000</v>
      </c>
      <c r="AN168" s="20"/>
      <c r="AP168" t="s">
        <v>25</v>
      </c>
    </row>
    <row r="169" spans="15:43">
      <c r="Q169" s="169">
        <v>6702018</v>
      </c>
      <c r="R169" s="213" t="s">
        <v>5274</v>
      </c>
      <c r="S169" s="213">
        <f>S168-3</f>
        <v>15</v>
      </c>
      <c r="T169" s="213" t="s">
        <v>5278</v>
      </c>
      <c r="U169" s="213">
        <v>7413</v>
      </c>
      <c r="V169" s="99">
        <f t="shared" si="46"/>
        <v>7610.9778739726034</v>
      </c>
      <c r="W169" s="32">
        <f t="shared" si="49"/>
        <v>7763.1974314520558</v>
      </c>
      <c r="X169" s="32">
        <f t="shared" si="50"/>
        <v>7915.4169889315081</v>
      </c>
      <c r="AH169" s="99">
        <v>149</v>
      </c>
      <c r="AI169" s="113" t="s">
        <v>5040</v>
      </c>
      <c r="AJ169" s="113">
        <v>1130250</v>
      </c>
      <c r="AK169" s="99">
        <v>5</v>
      </c>
      <c r="AL169" s="20">
        <f t="shared" si="39"/>
        <v>139</v>
      </c>
      <c r="AM169" s="117">
        <f t="shared" si="45"/>
        <v>157104750</v>
      </c>
      <c r="AN169" s="20"/>
    </row>
    <row r="170" spans="15:43">
      <c r="Q170" s="169">
        <v>1068775</v>
      </c>
      <c r="R170" s="213" t="s">
        <v>5279</v>
      </c>
      <c r="S170" s="213">
        <f>S169-1</f>
        <v>14</v>
      </c>
      <c r="T170" s="213" t="s">
        <v>5282</v>
      </c>
      <c r="U170" s="213">
        <v>7046</v>
      </c>
      <c r="V170" s="99">
        <f t="shared" si="46"/>
        <v>7228.7713095890422</v>
      </c>
      <c r="W170" s="32">
        <f t="shared" si="49"/>
        <v>7373.3467357808231</v>
      </c>
      <c r="X170" s="32">
        <f t="shared" si="50"/>
        <v>7517.922161972604</v>
      </c>
      <c r="Y170" t="s">
        <v>25</v>
      </c>
      <c r="AE170" s="96" t="s">
        <v>25</v>
      </c>
      <c r="AH170" s="99">
        <v>150</v>
      </c>
      <c r="AI170" s="113" t="s">
        <v>5056</v>
      </c>
      <c r="AJ170" s="113">
        <v>206000</v>
      </c>
      <c r="AK170" s="99">
        <v>2</v>
      </c>
      <c r="AL170" s="20">
        <f t="shared" si="39"/>
        <v>134</v>
      </c>
      <c r="AM170" s="117">
        <f t="shared" si="45"/>
        <v>27604000</v>
      </c>
      <c r="AN170" s="20"/>
    </row>
    <row r="171" spans="15:43">
      <c r="Q171" s="169">
        <v>1633018</v>
      </c>
      <c r="R171" s="213" t="s">
        <v>5285</v>
      </c>
      <c r="S171" s="213">
        <f>S170-1</f>
        <v>13</v>
      </c>
      <c r="T171" s="213" t="s">
        <v>5289</v>
      </c>
      <c r="U171" s="213">
        <v>812.7</v>
      </c>
      <c r="V171" s="99">
        <f t="shared" si="46"/>
        <v>833.1577742465754</v>
      </c>
      <c r="W171" s="32">
        <f t="shared" si="49"/>
        <v>849.82092973150691</v>
      </c>
      <c r="X171" s="32">
        <f t="shared" si="50"/>
        <v>866.48408521643842</v>
      </c>
      <c r="AH171" s="99">
        <v>151</v>
      </c>
      <c r="AI171" s="113" t="s">
        <v>5063</v>
      </c>
      <c r="AJ171" s="113">
        <v>50000</v>
      </c>
      <c r="AK171" s="99">
        <v>2</v>
      </c>
      <c r="AL171" s="20">
        <f t="shared" si="39"/>
        <v>132</v>
      </c>
      <c r="AM171" s="117">
        <f t="shared" si="45"/>
        <v>6600000</v>
      </c>
      <c r="AN171" s="20"/>
    </row>
    <row r="172" spans="15:43">
      <c r="Q172" s="169">
        <v>12307678</v>
      </c>
      <c r="R172" s="213" t="s">
        <v>5290</v>
      </c>
      <c r="S172" s="213">
        <f>S171-1</f>
        <v>12</v>
      </c>
      <c r="T172" s="213" t="s">
        <v>5294</v>
      </c>
      <c r="U172" s="213">
        <v>7115</v>
      </c>
      <c r="V172" s="99">
        <f t="shared" si="46"/>
        <v>7288.6449863013713</v>
      </c>
      <c r="W172" s="32">
        <f t="shared" si="49"/>
        <v>7434.4178860273987</v>
      </c>
      <c r="X172" s="32">
        <f t="shared" si="50"/>
        <v>7580.1907857534261</v>
      </c>
      <c r="Y172" t="s">
        <v>25</v>
      </c>
      <c r="AH172" s="99">
        <v>152</v>
      </c>
      <c r="AI172" s="113" t="s">
        <v>5070</v>
      </c>
      <c r="AJ172" s="113">
        <v>105000</v>
      </c>
      <c r="AK172" s="99">
        <v>4</v>
      </c>
      <c r="AL172" s="20">
        <f t="shared" si="39"/>
        <v>130</v>
      </c>
      <c r="AM172" s="117">
        <f t="shared" si="45"/>
        <v>13650000</v>
      </c>
      <c r="AN172" s="20"/>
    </row>
    <row r="173" spans="15:43">
      <c r="Q173" s="169">
        <v>453499</v>
      </c>
      <c r="R173" s="213" t="s">
        <v>5299</v>
      </c>
      <c r="S173" s="213">
        <f>S172-1</f>
        <v>11</v>
      </c>
      <c r="T173" s="213" t="s">
        <v>5300</v>
      </c>
      <c r="U173" s="213">
        <v>6945.4</v>
      </c>
      <c r="V173" s="99">
        <f t="shared" si="46"/>
        <v>7109.5778389041097</v>
      </c>
      <c r="W173" s="32">
        <f t="shared" si="49"/>
        <v>7251.7693956821922</v>
      </c>
      <c r="X173" s="32">
        <f t="shared" si="50"/>
        <v>7393.9609524602747</v>
      </c>
      <c r="Y173" t="s">
        <v>25</v>
      </c>
      <c r="AH173" s="99">
        <v>153</v>
      </c>
      <c r="AI173" s="113" t="s">
        <v>5075</v>
      </c>
      <c r="AJ173" s="113">
        <v>5000000</v>
      </c>
      <c r="AK173" s="99">
        <v>1</v>
      </c>
      <c r="AL173" s="20">
        <f t="shared" si="39"/>
        <v>126</v>
      </c>
      <c r="AM173" s="117">
        <f t="shared" si="45"/>
        <v>630000000</v>
      </c>
      <c r="AN173" s="20"/>
    </row>
    <row r="174" spans="15:43">
      <c r="Q174" s="169">
        <v>121792</v>
      </c>
      <c r="R174" s="213" t="s">
        <v>5299</v>
      </c>
      <c r="S174" s="213">
        <f>S173</f>
        <v>11</v>
      </c>
      <c r="T174" s="213" t="s">
        <v>5301</v>
      </c>
      <c r="U174" s="213">
        <v>808.2</v>
      </c>
      <c r="V174" s="99">
        <f t="shared" si="46"/>
        <v>827.30451945205482</v>
      </c>
      <c r="W174" s="32">
        <f t="shared" si="49"/>
        <v>843.85060984109589</v>
      </c>
      <c r="X174" s="32">
        <f t="shared" si="50"/>
        <v>860.39670023013707</v>
      </c>
      <c r="Y174" t="s">
        <v>25</v>
      </c>
      <c r="Z174" t="s">
        <v>25</v>
      </c>
      <c r="AH174" s="99">
        <v>154</v>
      </c>
      <c r="AI174" s="113" t="s">
        <v>5076</v>
      </c>
      <c r="AJ174" s="113">
        <v>2500000</v>
      </c>
      <c r="AK174" s="99">
        <v>2</v>
      </c>
      <c r="AL174" s="20">
        <f t="shared" si="39"/>
        <v>125</v>
      </c>
      <c r="AM174" s="117">
        <f t="shared" si="45"/>
        <v>312500000</v>
      </c>
      <c r="AN174" s="20"/>
    </row>
    <row r="175" spans="15:43">
      <c r="Q175" s="169">
        <v>5649</v>
      </c>
      <c r="R175" s="213" t="s">
        <v>5305</v>
      </c>
      <c r="S175" s="213">
        <f>S174-4</f>
        <v>7</v>
      </c>
      <c r="T175" s="213" t="s">
        <v>5306</v>
      </c>
      <c r="U175" s="213">
        <v>803</v>
      </c>
      <c r="V175" s="99">
        <f t="shared" si="46"/>
        <v>819.51760000000013</v>
      </c>
      <c r="W175" s="32">
        <f t="shared" si="49"/>
        <v>835.90795200000014</v>
      </c>
      <c r="X175" s="32">
        <f t="shared" si="50"/>
        <v>852.29830400000014</v>
      </c>
      <c r="AH175" s="269">
        <v>155</v>
      </c>
      <c r="AI175" s="265" t="s">
        <v>5083</v>
      </c>
      <c r="AJ175" s="265">
        <v>-50000000</v>
      </c>
      <c r="AK175" s="269">
        <v>7</v>
      </c>
      <c r="AL175" s="269">
        <f t="shared" si="39"/>
        <v>123</v>
      </c>
      <c r="AM175" s="265">
        <f t="shared" si="45"/>
        <v>-6150000000</v>
      </c>
      <c r="AN175" s="269" t="s">
        <v>5092</v>
      </c>
    </row>
    <row r="176" spans="15:43">
      <c r="Q176" s="169">
        <v>1361093</v>
      </c>
      <c r="R176" s="213" t="s">
        <v>990</v>
      </c>
      <c r="S176" s="213">
        <f>S175-8</f>
        <v>-1</v>
      </c>
      <c r="T176" s="213" t="s">
        <v>5328</v>
      </c>
      <c r="U176" s="213">
        <v>6948.4</v>
      </c>
      <c r="V176" s="99">
        <f t="shared" si="46"/>
        <v>7048.6854005479463</v>
      </c>
      <c r="W176" s="32">
        <f t="shared" si="49"/>
        <v>7189.6591085589052</v>
      </c>
      <c r="X176" s="32">
        <f t="shared" si="50"/>
        <v>7330.6328165698642</v>
      </c>
      <c r="AH176" s="99">
        <v>156</v>
      </c>
      <c r="AI176" s="113" t="s">
        <v>5090</v>
      </c>
      <c r="AJ176" s="113">
        <v>10000000</v>
      </c>
      <c r="AK176" s="99">
        <v>12</v>
      </c>
      <c r="AL176" s="20">
        <f t="shared" si="39"/>
        <v>116</v>
      </c>
      <c r="AM176" s="117">
        <f t="shared" si="45"/>
        <v>1160000000</v>
      </c>
      <c r="AN176" s="20" t="s">
        <v>4746</v>
      </c>
    </row>
    <row r="177" spans="17:44">
      <c r="Q177" s="169">
        <v>172529</v>
      </c>
      <c r="R177" s="213" t="s">
        <v>5333</v>
      </c>
      <c r="S177" s="213">
        <f>S176-2</f>
        <v>-3</v>
      </c>
      <c r="T177" s="213" t="s">
        <v>5335</v>
      </c>
      <c r="U177" s="213">
        <v>6870</v>
      </c>
      <c r="V177" s="99">
        <f t="shared" si="46"/>
        <v>6958.6135890410969</v>
      </c>
      <c r="W177" s="32">
        <f t="shared" si="49"/>
        <v>7097.7858608219194</v>
      </c>
      <c r="X177" s="32">
        <f t="shared" si="50"/>
        <v>7236.958132602741</v>
      </c>
      <c r="AH177" s="99">
        <v>157</v>
      </c>
      <c r="AI177" s="113" t="s">
        <v>5099</v>
      </c>
      <c r="AJ177" s="113">
        <v>-16266000</v>
      </c>
      <c r="AK177" s="99">
        <v>1</v>
      </c>
      <c r="AL177" s="20">
        <f t="shared" si="39"/>
        <v>104</v>
      </c>
      <c r="AM177" s="117">
        <f t="shared" si="45"/>
        <v>-1691664000</v>
      </c>
      <c r="AN177" s="20" t="s">
        <v>5114</v>
      </c>
      <c r="AQ177" t="s">
        <v>25</v>
      </c>
    </row>
    <row r="178" spans="17:44">
      <c r="Q178" s="169">
        <v>296336</v>
      </c>
      <c r="R178" s="213" t="s">
        <v>5333</v>
      </c>
      <c r="S178" s="213">
        <f>S177</f>
        <v>-3</v>
      </c>
      <c r="T178" s="213" t="s">
        <v>5336</v>
      </c>
      <c r="U178" s="213">
        <v>6860.4</v>
      </c>
      <c r="V178" s="99">
        <f t="shared" si="46"/>
        <v>6948.8897621917813</v>
      </c>
      <c r="W178" s="32">
        <f t="shared" si="49"/>
        <v>7087.8675574356166</v>
      </c>
      <c r="X178" s="32">
        <f t="shared" si="50"/>
        <v>7226.8453526794528</v>
      </c>
      <c r="AH178" s="99">
        <v>158</v>
      </c>
      <c r="AI178" s="113" t="s">
        <v>5115</v>
      </c>
      <c r="AJ178" s="113">
        <v>1000000</v>
      </c>
      <c r="AK178" s="99">
        <v>6</v>
      </c>
      <c r="AL178" s="20">
        <f t="shared" ref="AL178:AL181" si="51">AL179+AK178</f>
        <v>103</v>
      </c>
      <c r="AM178" s="117">
        <f t="shared" ref="AM178:AM181" si="52">AJ178*AL178</f>
        <v>103000000</v>
      </c>
      <c r="AN178" s="20"/>
    </row>
    <row r="179" spans="17:44">
      <c r="Q179" s="169">
        <v>302781</v>
      </c>
      <c r="R179" s="213" t="s">
        <v>5333</v>
      </c>
      <c r="S179" s="213">
        <f>S178</f>
        <v>-3</v>
      </c>
      <c r="T179" s="213" t="s">
        <v>5337</v>
      </c>
      <c r="U179" s="213">
        <v>6850.3</v>
      </c>
      <c r="V179" s="99">
        <f t="shared" si="46"/>
        <v>6938.6594860273981</v>
      </c>
      <c r="W179" s="32">
        <f t="shared" si="49"/>
        <v>7077.4326757479457</v>
      </c>
      <c r="X179" s="32">
        <f t="shared" si="50"/>
        <v>7216.2058654684943</v>
      </c>
      <c r="Y179" t="s">
        <v>25</v>
      </c>
      <c r="AH179" s="99">
        <v>159</v>
      </c>
      <c r="AI179" s="113" t="s">
        <v>5123</v>
      </c>
      <c r="AJ179" s="113">
        <v>40000</v>
      </c>
      <c r="AK179" s="99">
        <v>5</v>
      </c>
      <c r="AL179" s="20">
        <f t="shared" si="51"/>
        <v>97</v>
      </c>
      <c r="AM179" s="117">
        <f t="shared" si="52"/>
        <v>3880000</v>
      </c>
      <c r="AN179" s="20"/>
    </row>
    <row r="180" spans="17:44">
      <c r="Q180" s="169">
        <v>204929</v>
      </c>
      <c r="R180" s="213" t="s">
        <v>5338</v>
      </c>
      <c r="S180" s="213">
        <f>S179-4</f>
        <v>-7</v>
      </c>
      <c r="T180" s="213" t="s">
        <v>5389</v>
      </c>
      <c r="U180" s="213">
        <v>6800.1</v>
      </c>
      <c r="V180" s="99">
        <f t="shared" si="46"/>
        <v>6866.9459145205483</v>
      </c>
      <c r="W180" s="32">
        <f t="shared" ref="W180:W183" si="53">V180*(1+$W$19/100)</f>
        <v>7004.2848328109594</v>
      </c>
      <c r="X180" s="32">
        <f t="shared" ref="X180:X183" si="54">V180*(1+$X$19/100)</f>
        <v>7141.6237511013705</v>
      </c>
      <c r="AH180" s="99">
        <v>160</v>
      </c>
      <c r="AI180" s="113" t="s">
        <v>5135</v>
      </c>
      <c r="AJ180" s="113">
        <v>120000</v>
      </c>
      <c r="AK180" s="99">
        <v>6</v>
      </c>
      <c r="AL180" s="20">
        <f t="shared" si="51"/>
        <v>92</v>
      </c>
      <c r="AM180" s="117">
        <f t="shared" si="52"/>
        <v>11040000</v>
      </c>
      <c r="AN180" s="20"/>
    </row>
    <row r="181" spans="17:44">
      <c r="Q181" s="169">
        <v>283814</v>
      </c>
      <c r="R181" s="213" t="s">
        <v>5399</v>
      </c>
      <c r="S181" s="213">
        <f>S180-36</f>
        <v>-43</v>
      </c>
      <c r="T181" s="213" t="s">
        <v>5400</v>
      </c>
      <c r="U181" s="213"/>
      <c r="V181" s="99"/>
      <c r="W181" s="32"/>
      <c r="X181" s="32"/>
      <c r="Y181" t="s">
        <v>25</v>
      </c>
      <c r="AH181" s="99">
        <v>161</v>
      </c>
      <c r="AI181" s="113" t="s">
        <v>5128</v>
      </c>
      <c r="AJ181" s="113">
        <v>249000</v>
      </c>
      <c r="AK181" s="99">
        <v>9</v>
      </c>
      <c r="AL181" s="20">
        <f t="shared" si="51"/>
        <v>86</v>
      </c>
      <c r="AM181" s="117">
        <f t="shared" si="52"/>
        <v>21414000</v>
      </c>
      <c r="AN181" s="20"/>
    </row>
    <row r="182" spans="17:44">
      <c r="Q182" s="169"/>
      <c r="R182" s="213"/>
      <c r="S182" s="213"/>
      <c r="T182" s="213"/>
      <c r="U182" s="213"/>
      <c r="V182" s="99"/>
      <c r="W182" s="32"/>
      <c r="X182" s="32"/>
      <c r="Y182" t="s">
        <v>25</v>
      </c>
      <c r="AH182" s="99">
        <v>162</v>
      </c>
      <c r="AI182" s="113" t="s">
        <v>5159</v>
      </c>
      <c r="AJ182" s="113">
        <v>65000</v>
      </c>
      <c r="AK182" s="99">
        <v>7</v>
      </c>
      <c r="AL182" s="20">
        <f t="shared" ref="AL182" si="55">AL183+AK182</f>
        <v>77</v>
      </c>
      <c r="AM182" s="117">
        <f t="shared" ref="AM182" si="56">AJ182*AL182</f>
        <v>5005000</v>
      </c>
      <c r="AN182" s="20"/>
    </row>
    <row r="183" spans="17:44">
      <c r="Q183" s="169"/>
      <c r="R183" s="168"/>
      <c r="S183" s="168"/>
      <c r="T183" s="168"/>
      <c r="U183" s="168"/>
      <c r="V183" s="99">
        <f>U183*(1+$R$119+$Q$15*S183/36500)</f>
        <v>0</v>
      </c>
      <c r="W183" s="32">
        <f t="shared" si="53"/>
        <v>0</v>
      </c>
      <c r="X183" s="32">
        <f t="shared" si="54"/>
        <v>0</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13">
        <f>SUM(N44:N49)-SUM(Q123:Q183)</f>
        <v>324261413.30000007</v>
      </c>
      <c r="R184" s="112"/>
      <c r="S184" s="112"/>
      <c r="T184" s="112"/>
      <c r="U184" s="168"/>
      <c r="V184" s="99" t="s">
        <v>25</v>
      </c>
      <c r="W184" s="32"/>
      <c r="X184" s="32"/>
      <c r="AH184" s="99">
        <v>164</v>
      </c>
      <c r="AI184" s="113" t="s">
        <v>5172</v>
      </c>
      <c r="AJ184" s="113">
        <v>50000</v>
      </c>
      <c r="AK184" s="99">
        <v>6</v>
      </c>
      <c r="AL184" s="20">
        <f t="shared" si="57"/>
        <v>70</v>
      </c>
      <c r="AM184" s="117">
        <f t="shared" si="58"/>
        <v>3500000</v>
      </c>
      <c r="AN184" s="20"/>
      <c r="AR184" t="s">
        <v>25</v>
      </c>
    </row>
    <row r="185" spans="17:44">
      <c r="Q185" s="26"/>
      <c r="R185" s="181"/>
      <c r="S185" s="181"/>
      <c r="T185" t="s">
        <v>25</v>
      </c>
      <c r="U185" s="96" t="s">
        <v>25</v>
      </c>
      <c r="V185" s="96" t="s">
        <v>25</v>
      </c>
      <c r="W185" s="96" t="s">
        <v>25</v>
      </c>
      <c r="AH185" s="99">
        <v>165</v>
      </c>
      <c r="AI185" s="113" t="s">
        <v>5185</v>
      </c>
      <c r="AJ185" s="113">
        <v>-200000</v>
      </c>
      <c r="AK185" s="99">
        <v>0</v>
      </c>
      <c r="AL185" s="20">
        <f t="shared" si="57"/>
        <v>64</v>
      </c>
      <c r="AM185" s="117">
        <f t="shared" si="58"/>
        <v>-12800000</v>
      </c>
      <c r="AN185" s="20" t="s">
        <v>5186</v>
      </c>
    </row>
    <row r="186" spans="17:44">
      <c r="R186" s="32" t="s">
        <v>4557</v>
      </c>
      <c r="S186" s="32" t="s">
        <v>948</v>
      </c>
      <c r="T186" t="s">
        <v>25</v>
      </c>
      <c r="U186" s="96" t="s">
        <v>25</v>
      </c>
      <c r="V186" s="96" t="s">
        <v>25</v>
      </c>
      <c r="W186" s="96" t="s">
        <v>25</v>
      </c>
      <c r="X186" s="122" t="s">
        <v>25</v>
      </c>
      <c r="AH186" s="99">
        <v>166</v>
      </c>
      <c r="AI186" s="113" t="s">
        <v>5185</v>
      </c>
      <c r="AJ186" s="113">
        <v>200000</v>
      </c>
      <c r="AK186" s="99">
        <v>3</v>
      </c>
      <c r="AL186" s="20">
        <f t="shared" si="57"/>
        <v>64</v>
      </c>
      <c r="AM186" s="117">
        <f t="shared" si="58"/>
        <v>12800000</v>
      </c>
      <c r="AN186" s="20"/>
      <c r="AQ186" t="s">
        <v>25</v>
      </c>
      <c r="AR186" t="s">
        <v>25</v>
      </c>
    </row>
    <row r="187" spans="17:44">
      <c r="R187" s="32">
        <v>100</v>
      </c>
      <c r="S187" s="234">
        <v>683097</v>
      </c>
      <c r="U187" s="96" t="s">
        <v>25</v>
      </c>
      <c r="V187" s="122" t="s">
        <v>25</v>
      </c>
      <c r="W187" s="96" t="s">
        <v>25</v>
      </c>
      <c r="X187" t="s">
        <v>25</v>
      </c>
      <c r="Z187" t="s">
        <v>25</v>
      </c>
      <c r="AH187" s="99">
        <v>167</v>
      </c>
      <c r="AI187" s="113" t="s">
        <v>5194</v>
      </c>
      <c r="AJ187" s="113">
        <v>200000</v>
      </c>
      <c r="AK187" s="99">
        <v>3</v>
      </c>
      <c r="AL187" s="20">
        <f t="shared" si="57"/>
        <v>61</v>
      </c>
      <c r="AM187" s="117">
        <f t="shared" si="58"/>
        <v>12200000</v>
      </c>
      <c r="AN187" s="20"/>
    </row>
    <row r="188" spans="17:44">
      <c r="Q188" t="s">
        <v>25</v>
      </c>
      <c r="R188" s="32">
        <v>70</v>
      </c>
      <c r="S188" s="1">
        <f>S187*R188/R187</f>
        <v>478167.9</v>
      </c>
      <c r="U188" s="96" t="s">
        <v>25</v>
      </c>
      <c r="V188" s="122" t="s">
        <v>25</v>
      </c>
      <c r="W188" s="96" t="s">
        <v>25</v>
      </c>
      <c r="X188" t="s">
        <v>25</v>
      </c>
      <c r="AH188" s="99">
        <v>168</v>
      </c>
      <c r="AI188" s="113" t="s">
        <v>5199</v>
      </c>
      <c r="AJ188" s="113">
        <v>30000</v>
      </c>
      <c r="AK188" s="99">
        <v>7</v>
      </c>
      <c r="AL188" s="20">
        <f t="shared" si="57"/>
        <v>58</v>
      </c>
      <c r="AM188" s="117">
        <f t="shared" si="58"/>
        <v>1740000</v>
      </c>
      <c r="AN188" s="20"/>
    </row>
    <row r="189" spans="17:44">
      <c r="R189" s="32">
        <f>R187-R188</f>
        <v>30</v>
      </c>
      <c r="S189" s="1">
        <f>R189*S187/R187</f>
        <v>204929.1</v>
      </c>
      <c r="T189" t="s">
        <v>25</v>
      </c>
      <c r="U189" s="122" t="s">
        <v>25</v>
      </c>
      <c r="V189" s="96"/>
      <c r="W189" s="122" t="s">
        <v>25</v>
      </c>
      <c r="X189" t="s">
        <v>25</v>
      </c>
      <c r="AH189" s="99">
        <v>169</v>
      </c>
      <c r="AI189" s="113" t="s">
        <v>5147</v>
      </c>
      <c r="AJ189" s="113">
        <v>-10000000</v>
      </c>
      <c r="AK189" s="99">
        <v>0</v>
      </c>
      <c r="AL189" s="20">
        <f t="shared" si="57"/>
        <v>51</v>
      </c>
      <c r="AM189" s="117">
        <f t="shared" si="58"/>
        <v>-510000000</v>
      </c>
      <c r="AN189" s="20" t="s">
        <v>5092</v>
      </c>
    </row>
    <row r="190" spans="17:44">
      <c r="V190" s="96"/>
      <c r="W190"/>
      <c r="X190" t="s">
        <v>25</v>
      </c>
      <c r="AH190" s="99">
        <v>170</v>
      </c>
      <c r="AI190" s="113" t="s">
        <v>5147</v>
      </c>
      <c r="AJ190" s="113">
        <v>6000000</v>
      </c>
      <c r="AK190" s="99">
        <v>8</v>
      </c>
      <c r="AL190" s="20">
        <f t="shared" si="57"/>
        <v>51</v>
      </c>
      <c r="AM190" s="117">
        <f t="shared" si="58"/>
        <v>306000000</v>
      </c>
      <c r="AN190" s="20"/>
      <c r="AP190" t="s">
        <v>25</v>
      </c>
    </row>
    <row r="191" spans="17:44">
      <c r="Q191" s="99" t="s">
        <v>4448</v>
      </c>
      <c r="R191" s="99" t="s">
        <v>4450</v>
      </c>
      <c r="S191" s="99"/>
      <c r="T191" s="99" t="s">
        <v>4451</v>
      </c>
      <c r="U191" s="99"/>
      <c r="V191" s="99"/>
      <c r="W191" s="99" t="s">
        <v>4560</v>
      </c>
      <c r="Y191" t="s">
        <v>25</v>
      </c>
      <c r="AH191" s="99">
        <v>171</v>
      </c>
      <c r="AI191" s="113" t="s">
        <v>5235</v>
      </c>
      <c r="AJ191" s="113">
        <v>150000</v>
      </c>
      <c r="AK191" s="99">
        <v>7</v>
      </c>
      <c r="AL191" s="20">
        <f t="shared" ref="AL191:AL216" si="59">AL192+AK191</f>
        <v>43</v>
      </c>
      <c r="AM191" s="117">
        <f t="shared" ref="AM191:AM216" si="60">AJ191*AL191</f>
        <v>6450000</v>
      </c>
      <c r="AN191" s="20"/>
    </row>
    <row r="192" spans="17:44">
      <c r="Q192" s="113">
        <v>1000</v>
      </c>
      <c r="R192" s="99">
        <v>0.25</v>
      </c>
      <c r="S192" s="99"/>
      <c r="T192" s="99">
        <f>1-R192</f>
        <v>0.75</v>
      </c>
      <c r="U192" s="99"/>
      <c r="V192" s="99"/>
      <c r="W192" s="99"/>
      <c r="AH192" s="99">
        <v>172</v>
      </c>
      <c r="AI192" s="113" t="s">
        <v>5279</v>
      </c>
      <c r="AJ192" s="113">
        <v>400000</v>
      </c>
      <c r="AK192" s="99">
        <v>1</v>
      </c>
      <c r="AL192" s="20">
        <f t="shared" si="59"/>
        <v>36</v>
      </c>
      <c r="AM192" s="117">
        <f t="shared" si="60"/>
        <v>14400000</v>
      </c>
      <c r="AN192" s="20"/>
    </row>
    <row r="193" spans="15:45">
      <c r="Q193" s="168" t="s">
        <v>4435</v>
      </c>
      <c r="R193" s="168" t="s">
        <v>4453</v>
      </c>
      <c r="S193" s="168" t="s">
        <v>4454</v>
      </c>
      <c r="T193" s="168"/>
      <c r="U193" s="168" t="s">
        <v>4449</v>
      </c>
      <c r="V193" s="56" t="s">
        <v>4452</v>
      </c>
      <c r="W193" s="99"/>
      <c r="X193" s="8" t="s">
        <v>25</v>
      </c>
      <c r="AH193" s="99">
        <v>173</v>
      </c>
      <c r="AI193" s="113" t="s">
        <v>5285</v>
      </c>
      <c r="AJ193" s="113">
        <v>-100000</v>
      </c>
      <c r="AK193" s="99">
        <v>1</v>
      </c>
      <c r="AL193" s="20">
        <f t="shared" si="59"/>
        <v>35</v>
      </c>
      <c r="AM193" s="117">
        <f t="shared" si="60"/>
        <v>-3500000</v>
      </c>
      <c r="AN193" s="20"/>
    </row>
    <row r="194" spans="15:45">
      <c r="Q194" s="168" t="s">
        <v>750</v>
      </c>
      <c r="R194" s="56">
        <v>1753091</v>
      </c>
      <c r="S194" s="113">
        <f>R194*$T$351</f>
        <v>834511842.16823471</v>
      </c>
      <c r="T194" s="168"/>
      <c r="U194" s="168">
        <f>$Q$192*$T$192*S194/$R$221</f>
        <v>359.85771476006488</v>
      </c>
      <c r="V194" s="95">
        <f>S194+U194</f>
        <v>834512202.02594948</v>
      </c>
      <c r="W194" s="99">
        <f>R194*100/U348</f>
        <v>47.981028634675319</v>
      </c>
      <c r="X194" s="217"/>
      <c r="AH194" s="99">
        <v>174</v>
      </c>
      <c r="AI194" s="113" t="s">
        <v>5290</v>
      </c>
      <c r="AJ194" s="113">
        <v>10000000</v>
      </c>
      <c r="AK194" s="99">
        <v>1</v>
      </c>
      <c r="AL194" s="20">
        <f t="shared" si="59"/>
        <v>34</v>
      </c>
      <c r="AM194" s="117">
        <f t="shared" si="60"/>
        <v>340000000</v>
      </c>
      <c r="AN194" s="20" t="s">
        <v>4746</v>
      </c>
      <c r="AS194" t="s">
        <v>25</v>
      </c>
    </row>
    <row r="195" spans="15:45">
      <c r="P195">
        <f>R196-123</f>
        <v>50269</v>
      </c>
      <c r="Q195" s="168" t="s">
        <v>4437</v>
      </c>
      <c r="R195" s="56">
        <v>1612153</v>
      </c>
      <c r="S195" s="113">
        <f>R195*$T$351</f>
        <v>767422096.10741603</v>
      </c>
      <c r="T195" s="168"/>
      <c r="U195" s="213">
        <f>$Q$192*$T$192*S195/$R$221</f>
        <v>330.92731319913389</v>
      </c>
      <c r="V195" s="95">
        <f t="shared" ref="V195:V196" si="61">S195+U195</f>
        <v>767422427.03472924</v>
      </c>
      <c r="W195" s="99">
        <f>R195*100/U348</f>
        <v>44.123641759884521</v>
      </c>
      <c r="X195" s="115"/>
      <c r="AH195" s="99">
        <v>175</v>
      </c>
      <c r="AI195" s="113" t="s">
        <v>5299</v>
      </c>
      <c r="AJ195" s="113">
        <v>-400000</v>
      </c>
      <c r="AK195" s="99">
        <v>6</v>
      </c>
      <c r="AL195" s="20">
        <f t="shared" ref="AL195:AL203" si="62">AL196+AK195</f>
        <v>33</v>
      </c>
      <c r="AM195" s="117">
        <f t="shared" ref="AM195:AM203" si="63">AJ195*AL195</f>
        <v>-13200000</v>
      </c>
      <c r="AN195" s="20"/>
    </row>
    <row r="196" spans="15:45">
      <c r="Q196" s="168" t="s">
        <v>4436</v>
      </c>
      <c r="R196" s="56">
        <v>50392</v>
      </c>
      <c r="S196" s="113">
        <f>R196*$T$351</f>
        <v>23987756.91081734</v>
      </c>
      <c r="T196" s="168"/>
      <c r="U196" s="213">
        <f>$Q$192*$T$192*S196/$R$221</f>
        <v>10.343986685339889</v>
      </c>
      <c r="V196" s="95">
        <f t="shared" si="61"/>
        <v>23987767.254804026</v>
      </c>
      <c r="W196" s="99">
        <f>R196*100/U348</f>
        <v>1.3791982247119852</v>
      </c>
      <c r="X196" s="115"/>
      <c r="AH196" s="99">
        <v>176</v>
      </c>
      <c r="AI196" s="113" t="s">
        <v>5310</v>
      </c>
      <c r="AJ196" s="113">
        <v>1300000</v>
      </c>
      <c r="AK196" s="99">
        <v>0</v>
      </c>
      <c r="AL196" s="20">
        <f t="shared" si="62"/>
        <v>27</v>
      </c>
      <c r="AM196" s="117">
        <f t="shared" si="63"/>
        <v>35100000</v>
      </c>
      <c r="AN196" s="20"/>
      <c r="AR196" t="s">
        <v>25</v>
      </c>
    </row>
    <row r="197" spans="15:45">
      <c r="P197" s="114"/>
      <c r="Q197" s="168" t="s">
        <v>1084</v>
      </c>
      <c r="R197" s="56">
        <v>238081</v>
      </c>
      <c r="S197" s="113">
        <f>R197*$T$351</f>
        <v>113332059.71353197</v>
      </c>
      <c r="T197" s="168"/>
      <c r="U197" s="213">
        <f>$Q$192*$T$192*S197/$R$221</f>
        <v>48.870985355461293</v>
      </c>
      <c r="V197" s="95">
        <f>S197+U197</f>
        <v>113332108.58451733</v>
      </c>
      <c r="W197" s="99">
        <f>R197*100/U348</f>
        <v>6.5161313807281731</v>
      </c>
      <c r="X197" s="115"/>
      <c r="Y197" t="s">
        <v>25</v>
      </c>
      <c r="AH197" s="99">
        <v>177</v>
      </c>
      <c r="AI197" s="113" t="s">
        <v>5310</v>
      </c>
      <c r="AJ197" s="113">
        <v>230000</v>
      </c>
      <c r="AK197" s="99">
        <v>1</v>
      </c>
      <c r="AL197" s="20">
        <f t="shared" si="62"/>
        <v>27</v>
      </c>
      <c r="AM197" s="117">
        <f t="shared" si="63"/>
        <v>6210000</v>
      </c>
      <c r="AN197" s="20"/>
    </row>
    <row r="198" spans="15:45">
      <c r="O198" t="s">
        <v>25</v>
      </c>
      <c r="P198" s="114"/>
      <c r="Q198" s="168"/>
      <c r="R198" s="56"/>
      <c r="S198" s="168"/>
      <c r="T198" s="168"/>
      <c r="U198" s="168"/>
      <c r="V198" s="168"/>
      <c r="W198" s="99"/>
      <c r="X198" s="96"/>
      <c r="AH198" s="99">
        <v>178</v>
      </c>
      <c r="AI198" s="113" t="s">
        <v>5316</v>
      </c>
      <c r="AJ198" s="113">
        <v>880000</v>
      </c>
      <c r="AK198" s="99">
        <v>4</v>
      </c>
      <c r="AL198" s="20">
        <f t="shared" si="62"/>
        <v>26</v>
      </c>
      <c r="AM198" s="117">
        <f t="shared" si="63"/>
        <v>22880000</v>
      </c>
      <c r="AN198" s="20"/>
    </row>
    <row r="199" spans="15:45">
      <c r="P199" s="114"/>
      <c r="Q199" s="168"/>
      <c r="R199" s="168"/>
      <c r="S199" s="168"/>
      <c r="T199" s="168"/>
      <c r="U199" s="168"/>
      <c r="V199" s="168"/>
      <c r="W199" s="99"/>
      <c r="X199" s="96"/>
      <c r="AH199" s="99">
        <v>179</v>
      </c>
      <c r="AI199" s="113" t="s">
        <v>5321</v>
      </c>
      <c r="AJ199" s="113">
        <v>-900000</v>
      </c>
      <c r="AK199" s="99">
        <v>1</v>
      </c>
      <c r="AL199" s="20">
        <f t="shared" si="62"/>
        <v>22</v>
      </c>
      <c r="AM199" s="117">
        <f t="shared" si="63"/>
        <v>-19800000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21</v>
      </c>
      <c r="AM200" s="117">
        <f t="shared" si="63"/>
        <v>-73500000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20</v>
      </c>
      <c r="AM201" s="117">
        <f t="shared" si="63"/>
        <v>-32000000</v>
      </c>
      <c r="AN201" s="20"/>
      <c r="AQ201" t="s">
        <v>25</v>
      </c>
    </row>
    <row r="202" spans="15:45">
      <c r="Q202" s="99"/>
      <c r="R202" s="99"/>
      <c r="S202" s="99"/>
      <c r="T202" s="99"/>
      <c r="U202" s="99"/>
      <c r="V202" s="99"/>
      <c r="W202" s="99"/>
      <c r="X202" s="96"/>
      <c r="AH202" s="99">
        <v>182</v>
      </c>
      <c r="AI202" s="113" t="s">
        <v>5333</v>
      </c>
      <c r="AJ202" s="113">
        <v>-800000</v>
      </c>
      <c r="AK202" s="99">
        <v>7</v>
      </c>
      <c r="AL202" s="20">
        <f t="shared" si="62"/>
        <v>19</v>
      </c>
      <c r="AM202" s="117">
        <f t="shared" si="63"/>
        <v>-15200000</v>
      </c>
      <c r="AN202" s="20"/>
    </row>
    <row r="203" spans="15:45">
      <c r="Q203" s="96"/>
      <c r="R203" s="96"/>
      <c r="S203" s="96"/>
      <c r="T203" s="96"/>
      <c r="V203" s="96"/>
      <c r="X203" s="115"/>
      <c r="AH203" s="99">
        <v>183</v>
      </c>
      <c r="AI203" s="113" t="s">
        <v>5348</v>
      </c>
      <c r="AJ203" s="113">
        <v>50000</v>
      </c>
      <c r="AK203" s="99">
        <v>2</v>
      </c>
      <c r="AL203" s="20">
        <f t="shared" si="62"/>
        <v>12</v>
      </c>
      <c r="AM203" s="117">
        <f t="shared" si="63"/>
        <v>600000</v>
      </c>
      <c r="AN203" s="20"/>
    </row>
    <row r="204" spans="15:45">
      <c r="P204" s="114"/>
      <c r="Q204" s="99" t="s">
        <v>5034</v>
      </c>
      <c r="R204" s="95">
        <f>S194-R209</f>
        <v>212688512.16823471</v>
      </c>
      <c r="S204" s="96"/>
      <c r="T204" s="96"/>
      <c r="V204" s="96"/>
      <c r="AH204" s="99">
        <v>184</v>
      </c>
      <c r="AI204" s="113" t="s">
        <v>5351</v>
      </c>
      <c r="AJ204" s="113">
        <v>400000</v>
      </c>
      <c r="AK204" s="99">
        <v>8</v>
      </c>
      <c r="AL204" s="20">
        <f t="shared" ref="AL204:AL215" si="64">AL205+AK204</f>
        <v>10</v>
      </c>
      <c r="AM204" s="117">
        <f t="shared" ref="AM204:AM215" si="65">AJ204*AL204</f>
        <v>4000000</v>
      </c>
      <c r="AN204" s="20"/>
      <c r="AR204" t="s">
        <v>25</v>
      </c>
    </row>
    <row r="205" spans="15:45">
      <c r="P205" s="114"/>
      <c r="Q205" s="99" t="s">
        <v>5035</v>
      </c>
      <c r="R205" s="95">
        <f>S197+S196-R210</f>
        <v>10862692.024349287</v>
      </c>
      <c r="S205" s="96"/>
      <c r="T205" s="96" t="s">
        <v>25</v>
      </c>
      <c r="V205" s="96"/>
      <c r="AH205" s="99">
        <v>185</v>
      </c>
      <c r="AI205" s="113" t="s">
        <v>5308</v>
      </c>
      <c r="AJ205" s="113">
        <v>-10000000</v>
      </c>
      <c r="AK205" s="99">
        <v>0</v>
      </c>
      <c r="AL205" s="20">
        <f t="shared" si="64"/>
        <v>2</v>
      </c>
      <c r="AM205" s="117">
        <f t="shared" si="65"/>
        <v>-20000000</v>
      </c>
      <c r="AN205" s="20" t="s">
        <v>5092</v>
      </c>
    </row>
    <row r="206" spans="15:45">
      <c r="Q206" s="96"/>
      <c r="R206" s="96"/>
      <c r="S206" s="96"/>
      <c r="T206" s="96"/>
      <c r="V206" s="96"/>
      <c r="AH206" s="99">
        <v>186</v>
      </c>
      <c r="AI206" s="113" t="s">
        <v>5308</v>
      </c>
      <c r="AJ206" s="113">
        <v>3000000</v>
      </c>
      <c r="AK206" s="99">
        <v>1</v>
      </c>
      <c r="AL206" s="20">
        <f t="shared" si="64"/>
        <v>2</v>
      </c>
      <c r="AM206" s="117">
        <f t="shared" si="65"/>
        <v>6000000</v>
      </c>
      <c r="AN206" s="20"/>
    </row>
    <row r="207" spans="15:45">
      <c r="P207" s="114"/>
      <c r="Q207" s="96"/>
      <c r="R207" s="96"/>
      <c r="S207" s="96"/>
      <c r="T207" s="99" t="s">
        <v>180</v>
      </c>
      <c r="U207" s="99" t="s">
        <v>4470</v>
      </c>
      <c r="V207" s="99" t="s">
        <v>4471</v>
      </c>
      <c r="W207" s="99" t="s">
        <v>4481</v>
      </c>
      <c r="X207" s="99" t="s">
        <v>8</v>
      </c>
      <c r="AH207" s="99">
        <v>187</v>
      </c>
      <c r="AI207" s="113" t="s">
        <v>5373</v>
      </c>
      <c r="AJ207" s="113">
        <v>500000</v>
      </c>
      <c r="AK207" s="99">
        <v>1</v>
      </c>
      <c r="AL207" s="20">
        <f t="shared" si="64"/>
        <v>1</v>
      </c>
      <c r="AM207" s="117">
        <f t="shared" si="65"/>
        <v>500000</v>
      </c>
      <c r="AN207" s="20"/>
      <c r="AR207" t="s">
        <v>25</v>
      </c>
    </row>
    <row r="208" spans="15:45">
      <c r="Q208" s="36" t="s">
        <v>4556</v>
      </c>
      <c r="R208" s="95">
        <f>SUM(N44:N49)</f>
        <v>989436799.30000007</v>
      </c>
      <c r="T208" s="113" t="s">
        <v>4447</v>
      </c>
      <c r="U208" s="56">
        <v>1000000</v>
      </c>
      <c r="V208" s="113">
        <v>239.024</v>
      </c>
      <c r="W208" s="113">
        <f t="shared" ref="W208:W309" si="66">U208*V208</f>
        <v>239024000</v>
      </c>
      <c r="X208" s="99"/>
      <c r="AH208" s="99">
        <v>188</v>
      </c>
      <c r="AI208" s="113" t="s">
        <v>5386</v>
      </c>
      <c r="AJ208" s="113"/>
      <c r="AK208" s="99"/>
      <c r="AL208" s="20">
        <f t="shared" si="64"/>
        <v>0</v>
      </c>
      <c r="AM208" s="117">
        <f t="shared" si="65"/>
        <v>0</v>
      </c>
      <c r="AN208" s="20"/>
      <c r="AR208" t="s">
        <v>25</v>
      </c>
    </row>
    <row r="209" spans="16:45">
      <c r="Q209" s="99" t="s">
        <v>4438</v>
      </c>
      <c r="R209" s="95">
        <f>SUM(N21:N25)</f>
        <v>621823330</v>
      </c>
      <c r="T209" s="168" t="s">
        <v>4429</v>
      </c>
      <c r="U209" s="56">
        <v>5904</v>
      </c>
      <c r="V209" s="113">
        <v>237.148</v>
      </c>
      <c r="W209" s="113">
        <f t="shared" si="66"/>
        <v>1400121.7919999999</v>
      </c>
      <c r="X209" s="99" t="s">
        <v>750</v>
      </c>
      <c r="AH209" s="99">
        <v>189</v>
      </c>
      <c r="AI209" s="113"/>
      <c r="AJ209" s="113"/>
      <c r="AK209" s="99"/>
      <c r="AL209" s="20">
        <f t="shared" si="64"/>
        <v>0</v>
      </c>
      <c r="AM209" s="117">
        <f t="shared" si="65"/>
        <v>0</v>
      </c>
      <c r="AN209" s="20"/>
      <c r="AP209" t="s">
        <v>25</v>
      </c>
    </row>
    <row r="210" spans="16:45">
      <c r="P210" s="114"/>
      <c r="Q210" s="99" t="s">
        <v>4439</v>
      </c>
      <c r="R210" s="95">
        <f>SUM(N28:N31)</f>
        <v>126457124.60000001</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1250</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54690</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54741</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5325</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Q215" s="99" t="s">
        <v>4911</v>
      </c>
      <c r="R215" s="95">
        <v>1425820</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Q216" s="99" t="s">
        <v>5207</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490830059</v>
      </c>
      <c r="AK217" s="99"/>
      <c r="AL217" s="99"/>
      <c r="AM217" s="95">
        <f>SUM(AM20:AM216)</f>
        <v>178164285440</v>
      </c>
      <c r="AN217" s="95">
        <f>AM217*AN220/31</f>
        <v>95789165.981563881</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f>R215+268952</f>
        <v>1694772</v>
      </c>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5208</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1739253754.9000001</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586619224.98156393</v>
      </c>
      <c r="AK222" s="99"/>
      <c r="AL222" s="99"/>
      <c r="AM222" s="99"/>
      <c r="AN222" s="99"/>
    </row>
    <row r="223" spans="16:45">
      <c r="T223" s="168" t="s">
        <v>4615</v>
      </c>
      <c r="U223" s="168">
        <v>79720</v>
      </c>
      <c r="V223" s="113">
        <v>246.6568</v>
      </c>
      <c r="W223" s="113">
        <f t="shared" si="66"/>
        <v>19663480.096000001</v>
      </c>
      <c r="X223" s="99" t="s">
        <v>452</v>
      </c>
      <c r="AI223" t="s">
        <v>4061</v>
      </c>
      <c r="AJ223" s="114">
        <f>SUM(N42:N49)</f>
        <v>989438049.30000007</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498607990.30000007</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95789165.981563881</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402818824.31843615</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479</v>
      </c>
      <c r="AM234" s="99">
        <f>AJ234*AL234</f>
        <v>1703237780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426</v>
      </c>
      <c r="AM236" s="99">
        <f t="shared" si="68"/>
        <v>63900000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423</v>
      </c>
      <c r="AM237" s="99">
        <f t="shared" si="68"/>
        <v>-40185000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415</v>
      </c>
      <c r="AM238" s="99">
        <f t="shared" si="68"/>
        <v>1307250000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399</v>
      </c>
      <c r="AM239" s="99">
        <f t="shared" si="68"/>
        <v>-25935000</v>
      </c>
      <c r="AN239" s="99"/>
      <c r="AR239" t="s">
        <v>25</v>
      </c>
    </row>
    <row r="240" spans="17:44">
      <c r="Q240" s="149" t="s">
        <v>5203</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398</v>
      </c>
      <c r="AM240" s="99">
        <f t="shared" si="68"/>
        <v>-37810000</v>
      </c>
      <c r="AN240" s="99"/>
    </row>
    <row r="241" spans="16:43">
      <c r="Q241" s="149" t="s">
        <v>5243</v>
      </c>
      <c r="R241" s="149" t="s">
        <v>5239</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392</v>
      </c>
      <c r="AM241" s="99">
        <f t="shared" si="68"/>
        <v>90944000</v>
      </c>
      <c r="AN241" s="99"/>
    </row>
    <row r="242" spans="16:43">
      <c r="Q242" s="149" t="s">
        <v>5277</v>
      </c>
      <c r="R242" s="149" t="s">
        <v>5274</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385</v>
      </c>
      <c r="AM242" s="99">
        <f t="shared" si="68"/>
        <v>5005000000</v>
      </c>
      <c r="AN242" s="99"/>
    </row>
    <row r="243" spans="16:43">
      <c r="P243" t="s">
        <v>25</v>
      </c>
      <c r="Q243" s="149" t="s">
        <v>5280</v>
      </c>
      <c r="R243" s="149" t="s">
        <v>5279</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383</v>
      </c>
      <c r="AM243" s="99">
        <f t="shared" si="68"/>
        <v>3830000000</v>
      </c>
      <c r="AN243" s="99"/>
    </row>
    <row r="244" spans="16:43">
      <c r="Q244" s="20" t="s">
        <v>5061</v>
      </c>
      <c r="R244" s="20" t="s">
        <v>5290</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380</v>
      </c>
      <c r="AM244" s="99">
        <f t="shared" si="68"/>
        <v>1292000000</v>
      </c>
      <c r="AN244" s="99"/>
    </row>
    <row r="245" spans="16:43">
      <c r="Q245" s="195" t="s">
        <v>5322</v>
      </c>
      <c r="R245" s="195" t="s">
        <v>5321</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371</v>
      </c>
      <c r="AM245" s="99">
        <f t="shared" si="68"/>
        <v>-3241246694</v>
      </c>
      <c r="AN245" s="99"/>
    </row>
    <row r="246" spans="16:43">
      <c r="Q246" s="20" t="s">
        <v>5061</v>
      </c>
      <c r="R246" s="20" t="s">
        <v>5348</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370</v>
      </c>
      <c r="AM246" s="99">
        <f t="shared" si="68"/>
        <v>205350000</v>
      </c>
      <c r="AN246" s="99"/>
    </row>
    <row r="247" spans="16:43">
      <c r="Q247" s="20" t="s">
        <v>5061</v>
      </c>
      <c r="R247" s="20" t="s">
        <v>5360</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365</v>
      </c>
      <c r="AM247" s="99">
        <f t="shared" si="68"/>
        <v>-163632420</v>
      </c>
      <c r="AN247" s="99"/>
    </row>
    <row r="248" spans="16:43">
      <c r="Q248" s="20" t="s">
        <v>5061</v>
      </c>
      <c r="R248" s="20" t="s">
        <v>5379</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359</v>
      </c>
      <c r="AM248" s="99">
        <f t="shared" si="68"/>
        <v>11927775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357</v>
      </c>
      <c r="AM250" s="149">
        <f t="shared" si="68"/>
        <v>-357000000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350</v>
      </c>
      <c r="AM251" s="149">
        <f t="shared" si="68"/>
        <v>262500000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349</v>
      </c>
      <c r="AM252" s="195">
        <f t="shared" si="68"/>
        <v>-210849048</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349</v>
      </c>
      <c r="AM253" s="99">
        <f t="shared" si="68"/>
        <v>-204891967</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345</v>
      </c>
      <c r="AM254" s="195">
        <f t="shared" si="68"/>
        <v>-260251095</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345</v>
      </c>
      <c r="AM255" s="99">
        <f t="shared" si="68"/>
        <v>-65418555</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330</v>
      </c>
      <c r="AM256" s="195">
        <f t="shared" si="68"/>
        <v>2343000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330</v>
      </c>
      <c r="AM257" s="20">
        <f t="shared" si="68"/>
        <v>-48807660</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327</v>
      </c>
      <c r="AM258" s="195">
        <f t="shared" si="68"/>
        <v>-12164400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323</v>
      </c>
      <c r="AM259" s="20">
        <f t="shared" si="68"/>
        <v>-120261298</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302</v>
      </c>
      <c r="AM260" s="20">
        <f t="shared" si="68"/>
        <v>70988724</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302</v>
      </c>
      <c r="AM261" s="149">
        <f t="shared" si="68"/>
        <v>70988724</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293</v>
      </c>
      <c r="AM262" s="149">
        <f t="shared" si="68"/>
        <v>131850000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293</v>
      </c>
      <c r="AM263" s="20">
        <f t="shared" si="68"/>
        <v>131850000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271</v>
      </c>
      <c r="AM265" s="121">
        <f t="shared" si="71"/>
        <v>78301656</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268</v>
      </c>
      <c r="AM266" s="121">
        <f t="shared" si="71"/>
        <v>4813947588</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261</v>
      </c>
      <c r="AM269" s="121">
        <f t="shared" si="72"/>
        <v>21531484188</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260</v>
      </c>
      <c r="AM270" s="121">
        <f t="shared" si="72"/>
        <v>19410965860</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244</v>
      </c>
      <c r="AM271" s="20">
        <f t="shared" si="72"/>
        <v>162260000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244</v>
      </c>
      <c r="AM272" s="195">
        <f t="shared" ref="AM272:AM273" si="73">AJ272*AL272</f>
        <v>162260000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240</v>
      </c>
      <c r="AM273" s="20">
        <f t="shared" si="73"/>
        <v>480000000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239</v>
      </c>
      <c r="AM275" s="149">
        <f t="shared" si="74"/>
        <v>-103576625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239</v>
      </c>
      <c r="AM276" s="20">
        <f t="shared" si="74"/>
        <v>6692000000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238</v>
      </c>
      <c r="AM277" s="20">
        <f t="shared" si="74"/>
        <v>38080000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238</v>
      </c>
      <c r="AM278" s="149">
        <f t="shared" si="74"/>
        <v>16660000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229</v>
      </c>
      <c r="AM279" s="20">
        <f t="shared" si="74"/>
        <v>194650000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225</v>
      </c>
      <c r="AM281" s="195">
        <f t="shared" si="76"/>
        <v>6750000000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198</v>
      </c>
      <c r="AM282" s="20">
        <f t="shared" si="76"/>
        <v>217800000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197</v>
      </c>
      <c r="AM283" s="20">
        <f t="shared" si="76"/>
        <v>88650000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197</v>
      </c>
      <c r="AM284" s="149">
        <f t="shared" si="76"/>
        <v>108350000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196</v>
      </c>
      <c r="AM285" s="149">
        <f t="shared" si="76"/>
        <v>196000000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188</v>
      </c>
      <c r="AM286" s="20">
        <f t="shared" si="76"/>
        <v>-501749440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188</v>
      </c>
      <c r="AM287" s="149">
        <f t="shared" si="76"/>
        <v>-287380560</v>
      </c>
      <c r="AN287" s="149" t="s">
        <v>4947</v>
      </c>
    </row>
    <row r="288" spans="17:40">
      <c r="Q288" s="99" t="s">
        <v>5194</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188</v>
      </c>
      <c r="AM288" s="20">
        <f t="shared" si="76"/>
        <v>9400000000</v>
      </c>
      <c r="AN288" s="20"/>
    </row>
    <row r="289" spans="16:44">
      <c r="Q289" s="99" t="s">
        <v>5199</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5210</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180</v>
      </c>
      <c r="AM290" s="20">
        <f t="shared" si="78"/>
        <v>360000000</v>
      </c>
      <c r="AN290" s="20"/>
    </row>
    <row r="291" spans="16:44">
      <c r="Q291" s="99" t="s">
        <v>5246</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177</v>
      </c>
      <c r="AM291" s="20">
        <f t="shared" si="78"/>
        <v>17700000</v>
      </c>
      <c r="AN291" s="20" t="s">
        <v>3888</v>
      </c>
    </row>
    <row r="292" spans="16:44">
      <c r="Q292" s="99" t="s">
        <v>5290</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173</v>
      </c>
      <c r="AM292" s="20">
        <f t="shared" si="78"/>
        <v>17300000</v>
      </c>
      <c r="AN292" s="20"/>
    </row>
    <row r="293" spans="16:44">
      <c r="Q293" s="99" t="s">
        <v>5348</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166</v>
      </c>
      <c r="AM293" s="20">
        <f t="shared" si="78"/>
        <v>8300000</v>
      </c>
      <c r="AN293" s="20"/>
    </row>
    <row r="294" spans="16:44">
      <c r="Q294" s="99" t="s">
        <v>5360</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166</v>
      </c>
      <c r="AM294" s="149">
        <f t="shared" si="78"/>
        <v>8300000</v>
      </c>
      <c r="AN294" s="149"/>
    </row>
    <row r="295" spans="16:44">
      <c r="Q295" s="99" t="s">
        <v>5379</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163</v>
      </c>
      <c r="AM295" s="20">
        <f t="shared" si="78"/>
        <v>8150000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163</v>
      </c>
      <c r="AM296" s="195">
        <f t="shared" si="78"/>
        <v>8150000</v>
      </c>
      <c r="AN296" s="195"/>
    </row>
    <row r="297" spans="16:44">
      <c r="Q297" s="99"/>
      <c r="R297" s="95">
        <f>SUM(R257:R296)</f>
        <v>436983825</v>
      </c>
      <c r="T297" s="213" t="s">
        <v>5099</v>
      </c>
      <c r="U297" s="213">
        <v>-369</v>
      </c>
      <c r="V297" s="113">
        <v>393.334</v>
      </c>
      <c r="W297" s="113">
        <f t="shared" si="66"/>
        <v>-145140.24600000001</v>
      </c>
      <c r="X297" s="36" t="s">
        <v>5201</v>
      </c>
      <c r="AH297" s="20">
        <v>64</v>
      </c>
      <c r="AI297" s="20" t="s">
        <v>5006</v>
      </c>
      <c r="AJ297" s="117">
        <v>25000</v>
      </c>
      <c r="AK297" s="20">
        <v>0</v>
      </c>
      <c r="AL297" s="20">
        <f t="shared" si="77"/>
        <v>161</v>
      </c>
      <c r="AM297" s="20">
        <f t="shared" si="78"/>
        <v>4025000</v>
      </c>
      <c r="AN297" s="20"/>
    </row>
    <row r="298" spans="16:44">
      <c r="Q298" s="99"/>
      <c r="R298" s="99" t="s">
        <v>6</v>
      </c>
      <c r="T298" s="213" t="s">
        <v>5099</v>
      </c>
      <c r="U298" s="213">
        <v>-889</v>
      </c>
      <c r="V298" s="113">
        <v>393.334</v>
      </c>
      <c r="W298" s="113">
        <f t="shared" si="66"/>
        <v>-349673.92599999998</v>
      </c>
      <c r="X298" s="36" t="s">
        <v>5202</v>
      </c>
      <c r="AH298" s="149">
        <v>65</v>
      </c>
      <c r="AI298" s="149" t="s">
        <v>5006</v>
      </c>
      <c r="AJ298" s="188">
        <v>35000</v>
      </c>
      <c r="AK298" s="149">
        <v>7</v>
      </c>
      <c r="AL298" s="149">
        <f t="shared" si="77"/>
        <v>161</v>
      </c>
      <c r="AM298" s="149">
        <f t="shared" si="78"/>
        <v>5635000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154</v>
      </c>
      <c r="AM299" s="149">
        <f t="shared" ref="AM299:AM318" si="80">AJ299*AL299</f>
        <v>4620000000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154</v>
      </c>
      <c r="AM300" s="20">
        <f t="shared" si="80"/>
        <v>1047200000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153</v>
      </c>
      <c r="AM301" s="20">
        <f t="shared" si="80"/>
        <v>76500000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152</v>
      </c>
      <c r="AM302" s="20">
        <f t="shared" si="80"/>
        <v>129200000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147</v>
      </c>
      <c r="AM303" s="20">
        <f t="shared" si="80"/>
        <v>166146750</v>
      </c>
      <c r="AN303" s="20"/>
    </row>
    <row r="304" spans="16:44">
      <c r="Q304" s="99" t="s">
        <v>4490</v>
      </c>
      <c r="R304" s="95">
        <v>2269000</v>
      </c>
      <c r="T304" s="213" t="s">
        <v>5143</v>
      </c>
      <c r="U304" s="213">
        <v>1285</v>
      </c>
      <c r="V304" s="113">
        <v>388.84</v>
      </c>
      <c r="W304" s="113">
        <f t="shared" si="66"/>
        <v>499659.39999999997</v>
      </c>
      <c r="X304" s="36" t="s">
        <v>452</v>
      </c>
      <c r="AH304" s="260">
        <v>71</v>
      </c>
      <c r="AI304" s="260" t="s">
        <v>5040</v>
      </c>
      <c r="AJ304" s="251">
        <v>30000</v>
      </c>
      <c r="AK304" s="260">
        <v>5</v>
      </c>
      <c r="AL304" s="260">
        <f t="shared" si="79"/>
        <v>147</v>
      </c>
      <c r="AM304" s="260">
        <f t="shared" si="80"/>
        <v>4410000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142</v>
      </c>
      <c r="AM305" s="20">
        <f t="shared" si="80"/>
        <v>29252000</v>
      </c>
      <c r="AN305" s="20"/>
    </row>
    <row r="306" spans="17:40">
      <c r="Q306" s="99" t="s">
        <v>4614</v>
      </c>
      <c r="R306" s="95">
        <v>42236984</v>
      </c>
      <c r="T306" s="213" t="s">
        <v>5159</v>
      </c>
      <c r="U306" s="213">
        <v>165</v>
      </c>
      <c r="V306" s="113">
        <v>393.5</v>
      </c>
      <c r="W306" s="113">
        <f t="shared" si="66"/>
        <v>64927.5</v>
      </c>
      <c r="X306" s="36" t="s">
        <v>452</v>
      </c>
      <c r="AH306" s="149">
        <v>73</v>
      </c>
      <c r="AI306" s="149" t="s">
        <v>5056</v>
      </c>
      <c r="AJ306" s="188">
        <v>206000</v>
      </c>
      <c r="AK306" s="149">
        <v>2</v>
      </c>
      <c r="AL306" s="149">
        <f t="shared" si="79"/>
        <v>142</v>
      </c>
      <c r="AM306" s="149">
        <f t="shared" si="80"/>
        <v>29252000</v>
      </c>
      <c r="AN306" s="149"/>
    </row>
    <row r="307" spans="17:40" ht="30">
      <c r="Q307" s="99" t="s">
        <v>4615</v>
      </c>
      <c r="R307" s="95">
        <v>19663646</v>
      </c>
      <c r="T307" s="213" t="s">
        <v>5167</v>
      </c>
      <c r="U307" s="213">
        <v>-34859</v>
      </c>
      <c r="V307" s="113">
        <v>403.1585</v>
      </c>
      <c r="W307" s="113">
        <f t="shared" si="66"/>
        <v>-14053702.1515</v>
      </c>
      <c r="X307" s="36" t="s">
        <v>5171</v>
      </c>
      <c r="AH307" s="20">
        <v>74</v>
      </c>
      <c r="AI307" s="20" t="s">
        <v>5063</v>
      </c>
      <c r="AJ307" s="117">
        <v>50000</v>
      </c>
      <c r="AK307" s="20">
        <v>0</v>
      </c>
      <c r="AL307" s="20">
        <f t="shared" si="79"/>
        <v>140</v>
      </c>
      <c r="AM307" s="20">
        <f t="shared" si="80"/>
        <v>7000000</v>
      </c>
      <c r="AN307" s="20"/>
    </row>
    <row r="308" spans="17:40">
      <c r="Q308" s="99" t="s">
        <v>4639</v>
      </c>
      <c r="R308" s="95">
        <v>4374525</v>
      </c>
      <c r="T308" s="213" t="s">
        <v>5129</v>
      </c>
      <c r="U308" s="213">
        <v>8476</v>
      </c>
      <c r="V308" s="113">
        <v>419.49900000000002</v>
      </c>
      <c r="W308" s="113">
        <f t="shared" si="66"/>
        <v>3555673.5240000002</v>
      </c>
      <c r="X308" s="36" t="s">
        <v>5178</v>
      </c>
      <c r="AH308" s="260">
        <v>75</v>
      </c>
      <c r="AI308" s="260" t="s">
        <v>5063</v>
      </c>
      <c r="AJ308" s="251">
        <v>50000</v>
      </c>
      <c r="AK308" s="260">
        <v>2</v>
      </c>
      <c r="AL308" s="260">
        <f t="shared" si="79"/>
        <v>140</v>
      </c>
      <c r="AM308" s="260">
        <f t="shared" si="80"/>
        <v>7000000</v>
      </c>
      <c r="AN308" s="260"/>
    </row>
    <row r="309" spans="17:40">
      <c r="Q309" s="99" t="s">
        <v>4651</v>
      </c>
      <c r="R309" s="95">
        <v>6550580</v>
      </c>
      <c r="T309" s="213" t="s">
        <v>5194</v>
      </c>
      <c r="U309" s="213">
        <v>903</v>
      </c>
      <c r="V309" s="113">
        <v>442.77379999999999</v>
      </c>
      <c r="W309" s="113">
        <f t="shared" si="66"/>
        <v>399824.7414</v>
      </c>
      <c r="X309" s="36" t="s">
        <v>750</v>
      </c>
      <c r="AH309" s="20">
        <v>76</v>
      </c>
      <c r="AI309" s="20" t="s">
        <v>5070</v>
      </c>
      <c r="AJ309" s="117">
        <v>20000000</v>
      </c>
      <c r="AK309" s="20">
        <v>7</v>
      </c>
      <c r="AL309" s="20">
        <f t="shared" si="79"/>
        <v>138</v>
      </c>
      <c r="AM309" s="20">
        <f t="shared" si="80"/>
        <v>2760000000</v>
      </c>
      <c r="AN309" s="20" t="s">
        <v>5071</v>
      </c>
    </row>
    <row r="310" spans="17:40">
      <c r="Q310" s="99" t="s">
        <v>4653</v>
      </c>
      <c r="R310" s="95">
        <v>7054895</v>
      </c>
      <c r="T310" s="213" t="s">
        <v>5199</v>
      </c>
      <c r="U310" s="213">
        <v>113</v>
      </c>
      <c r="V310" s="113">
        <v>442.48200000000003</v>
      </c>
      <c r="W310" s="113">
        <f t="shared" ref="W310:W346" si="81">U310*V310</f>
        <v>50000.466</v>
      </c>
      <c r="X310" s="36" t="s">
        <v>750</v>
      </c>
      <c r="AH310" s="20">
        <v>77</v>
      </c>
      <c r="AI310" s="20" t="s">
        <v>5083</v>
      </c>
      <c r="AJ310" s="117">
        <v>50000</v>
      </c>
      <c r="AK310" s="20">
        <v>0</v>
      </c>
      <c r="AL310" s="20">
        <f t="shared" si="79"/>
        <v>131</v>
      </c>
      <c r="AM310" s="20">
        <f t="shared" si="80"/>
        <v>6550000</v>
      </c>
      <c r="AN310" s="20"/>
    </row>
    <row r="311" spans="17:40">
      <c r="Q311" s="99" t="s">
        <v>4676</v>
      </c>
      <c r="R311" s="95">
        <v>2145814</v>
      </c>
      <c r="T311" s="213" t="s">
        <v>5210</v>
      </c>
      <c r="U311" s="213">
        <v>671</v>
      </c>
      <c r="V311" s="113">
        <v>447</v>
      </c>
      <c r="W311" s="113">
        <f t="shared" si="81"/>
        <v>299937</v>
      </c>
      <c r="X311" s="36" t="s">
        <v>750</v>
      </c>
      <c r="AH311" s="149">
        <v>78</v>
      </c>
      <c r="AI311" s="149" t="s">
        <v>5083</v>
      </c>
      <c r="AJ311" s="188">
        <v>50000</v>
      </c>
      <c r="AK311" s="149">
        <v>7</v>
      </c>
      <c r="AL311" s="149">
        <f t="shared" si="79"/>
        <v>131</v>
      </c>
      <c r="AM311" s="149">
        <f t="shared" si="80"/>
        <v>6550000</v>
      </c>
      <c r="AN311" s="149"/>
    </row>
    <row r="312" spans="17:40">
      <c r="Q312" s="99" t="s">
        <v>4687</v>
      </c>
      <c r="R312" s="95">
        <v>4369730</v>
      </c>
      <c r="T312" s="213" t="s">
        <v>5212</v>
      </c>
      <c r="U312" s="213">
        <v>7</v>
      </c>
      <c r="V312" s="113">
        <v>465.31200000000001</v>
      </c>
      <c r="W312" s="113">
        <f t="shared" si="81"/>
        <v>3257.1840000000002</v>
      </c>
      <c r="X312" s="36" t="s">
        <v>452</v>
      </c>
      <c r="AH312" s="20">
        <v>79</v>
      </c>
      <c r="AI312" s="20" t="s">
        <v>5090</v>
      </c>
      <c r="AJ312" s="117">
        <v>2480000</v>
      </c>
      <c r="AK312" s="20">
        <v>0</v>
      </c>
      <c r="AL312" s="20">
        <f t="shared" si="79"/>
        <v>124</v>
      </c>
      <c r="AM312" s="20">
        <f t="shared" si="80"/>
        <v>307520000</v>
      </c>
      <c r="AN312" s="20"/>
    </row>
    <row r="313" spans="17:40">
      <c r="Q313" s="99" t="s">
        <v>4689</v>
      </c>
      <c r="R313" s="95">
        <v>8739459</v>
      </c>
      <c r="T313" s="213" t="s">
        <v>5221</v>
      </c>
      <c r="U313" s="213">
        <v>12950</v>
      </c>
      <c r="V313" s="113">
        <v>463.31599999999997</v>
      </c>
      <c r="W313" s="113">
        <f t="shared" si="81"/>
        <v>5999942.1999999993</v>
      </c>
      <c r="X313" s="36" t="s">
        <v>452</v>
      </c>
      <c r="AH313" s="149">
        <v>80</v>
      </c>
      <c r="AI313" s="149" t="s">
        <v>5090</v>
      </c>
      <c r="AJ313" s="188">
        <v>2480000</v>
      </c>
      <c r="AK313" s="149">
        <v>12</v>
      </c>
      <c r="AL313" s="149">
        <f t="shared" si="79"/>
        <v>124</v>
      </c>
      <c r="AM313" s="149">
        <f t="shared" si="80"/>
        <v>307520000</v>
      </c>
      <c r="AN313" s="149"/>
    </row>
    <row r="314" spans="17:40">
      <c r="Q314" s="99" t="s">
        <v>4698</v>
      </c>
      <c r="R314" s="95">
        <v>6667654</v>
      </c>
      <c r="T314" s="213" t="s">
        <v>5227</v>
      </c>
      <c r="U314" s="213">
        <v>37</v>
      </c>
      <c r="V314" s="113">
        <v>463.315</v>
      </c>
      <c r="W314" s="113">
        <f t="shared" si="81"/>
        <v>17142.654999999999</v>
      </c>
      <c r="X314" s="36" t="s">
        <v>452</v>
      </c>
      <c r="AH314" s="20">
        <v>81</v>
      </c>
      <c r="AI314" s="20" t="s">
        <v>5099</v>
      </c>
      <c r="AJ314" s="117">
        <v>-24159500</v>
      </c>
      <c r="AK314" s="20">
        <v>4</v>
      </c>
      <c r="AL314" s="20">
        <f t="shared" si="79"/>
        <v>112</v>
      </c>
      <c r="AM314" s="20">
        <f t="shared" si="80"/>
        <v>-2705864000</v>
      </c>
      <c r="AN314" s="20" t="s">
        <v>5114</v>
      </c>
    </row>
    <row r="315" spans="17:40">
      <c r="Q315" s="99" t="s">
        <v>3681</v>
      </c>
      <c r="R315" s="95">
        <v>8981245</v>
      </c>
      <c r="T315" s="213" t="s">
        <v>5228</v>
      </c>
      <c r="U315" s="213">
        <v>19</v>
      </c>
      <c r="V315" s="113">
        <v>434.3</v>
      </c>
      <c r="W315" s="113">
        <f t="shared" si="81"/>
        <v>8251.7000000000007</v>
      </c>
      <c r="X315" s="36" t="s">
        <v>452</v>
      </c>
      <c r="AH315" s="20">
        <v>82</v>
      </c>
      <c r="AI315" s="20" t="s">
        <v>5116</v>
      </c>
      <c r="AJ315" s="117">
        <v>400000</v>
      </c>
      <c r="AK315" s="20">
        <v>3</v>
      </c>
      <c r="AL315" s="20">
        <f t="shared" si="79"/>
        <v>108</v>
      </c>
      <c r="AM315" s="20">
        <f t="shared" si="80"/>
        <v>43200000</v>
      </c>
      <c r="AN315" s="20"/>
    </row>
    <row r="316" spans="17:40">
      <c r="Q316" s="99" t="s">
        <v>4711</v>
      </c>
      <c r="R316" s="95">
        <v>9181756</v>
      </c>
      <c r="T316" s="213" t="s">
        <v>5230</v>
      </c>
      <c r="U316" s="213">
        <v>16</v>
      </c>
      <c r="V316" s="113">
        <v>439</v>
      </c>
      <c r="W316" s="113">
        <f t="shared" si="81"/>
        <v>7024</v>
      </c>
      <c r="X316" s="36" t="s">
        <v>452</v>
      </c>
      <c r="AH316" s="149">
        <v>83</v>
      </c>
      <c r="AI316" s="149" t="s">
        <v>5123</v>
      </c>
      <c r="AJ316" s="188">
        <v>40000</v>
      </c>
      <c r="AK316" s="149">
        <v>0</v>
      </c>
      <c r="AL316" s="149">
        <f t="shared" si="79"/>
        <v>105</v>
      </c>
      <c r="AM316" s="149">
        <f t="shared" si="80"/>
        <v>4200000</v>
      </c>
      <c r="AN316" s="149"/>
    </row>
    <row r="317" spans="17:40" ht="45">
      <c r="Q317" s="99" t="s">
        <v>4715</v>
      </c>
      <c r="R317" s="95">
        <v>11811208</v>
      </c>
      <c r="T317" s="213" t="s">
        <v>5230</v>
      </c>
      <c r="U317" s="213">
        <v>9191</v>
      </c>
      <c r="V317" s="113">
        <v>440.24630000000002</v>
      </c>
      <c r="W317" s="113">
        <f t="shared" si="81"/>
        <v>4046303.7433000002</v>
      </c>
      <c r="X317" s="36" t="s">
        <v>5233</v>
      </c>
      <c r="AH317" s="20">
        <v>84</v>
      </c>
      <c r="AI317" s="20" t="s">
        <v>5123</v>
      </c>
      <c r="AJ317" s="117">
        <v>40000</v>
      </c>
      <c r="AK317" s="20">
        <v>5</v>
      </c>
      <c r="AL317" s="20">
        <f t="shared" si="79"/>
        <v>105</v>
      </c>
      <c r="AM317" s="20">
        <f t="shared" si="80"/>
        <v>4200000</v>
      </c>
      <c r="AN317" s="20"/>
    </row>
    <row r="318" spans="17:40">
      <c r="Q318" s="99" t="s">
        <v>4729</v>
      </c>
      <c r="R318" s="95">
        <v>41248054</v>
      </c>
      <c r="T318" s="213" t="s">
        <v>5235</v>
      </c>
      <c r="U318" s="213">
        <v>-8792</v>
      </c>
      <c r="V318" s="113">
        <v>441.90665999999999</v>
      </c>
      <c r="W318" s="113">
        <f t="shared" si="81"/>
        <v>-3885243.3547199997</v>
      </c>
      <c r="X318" s="36" t="s">
        <v>5236</v>
      </c>
      <c r="Y318" t="s">
        <v>25</v>
      </c>
      <c r="AH318" s="20">
        <v>85</v>
      </c>
      <c r="AI318" s="20" t="s">
        <v>5135</v>
      </c>
      <c r="AJ318" s="117">
        <v>200000</v>
      </c>
      <c r="AK318" s="20">
        <v>1</v>
      </c>
      <c r="AL318" s="20">
        <f t="shared" si="79"/>
        <v>100</v>
      </c>
      <c r="AM318" s="20">
        <f t="shared" si="80"/>
        <v>20000000</v>
      </c>
      <c r="AN318" s="20"/>
    </row>
    <row r="319" spans="17:40">
      <c r="Q319" s="99" t="s">
        <v>4737</v>
      </c>
      <c r="R319" s="95">
        <v>37328780</v>
      </c>
      <c r="T319" s="213" t="s">
        <v>5240</v>
      </c>
      <c r="U319" s="213">
        <v>24374</v>
      </c>
      <c r="V319" s="113">
        <v>471.81700000000001</v>
      </c>
      <c r="W319" s="113">
        <f t="shared" si="81"/>
        <v>11500067.558</v>
      </c>
      <c r="X319" s="36" t="s">
        <v>5244</v>
      </c>
      <c r="AH319" s="20">
        <v>86</v>
      </c>
      <c r="AI319" s="20" t="s">
        <v>5140</v>
      </c>
      <c r="AJ319" s="117">
        <v>500000</v>
      </c>
      <c r="AK319" s="20">
        <v>2</v>
      </c>
      <c r="AL319" s="20">
        <f t="shared" ref="AL319:AL363" si="82">AK319+AL320</f>
        <v>99</v>
      </c>
      <c r="AM319" s="20">
        <f t="shared" ref="AM319:AM363" si="83">AJ319*AL319</f>
        <v>49500000</v>
      </c>
      <c r="AN319" s="20"/>
    </row>
    <row r="320" spans="17:40">
      <c r="Q320" s="99" t="s">
        <v>4744</v>
      </c>
      <c r="R320" s="95">
        <v>50000000</v>
      </c>
      <c r="T320" s="213" t="s">
        <v>5246</v>
      </c>
      <c r="U320" s="213">
        <v>530</v>
      </c>
      <c r="V320" s="113">
        <v>472</v>
      </c>
      <c r="W320" s="113">
        <f t="shared" si="81"/>
        <v>250160</v>
      </c>
      <c r="X320" s="36" t="s">
        <v>750</v>
      </c>
      <c r="AH320" s="20">
        <v>87</v>
      </c>
      <c r="AI320" s="20" t="s">
        <v>5143</v>
      </c>
      <c r="AJ320" s="117">
        <v>500000</v>
      </c>
      <c r="AK320" s="20">
        <v>3</v>
      </c>
      <c r="AL320" s="20">
        <f t="shared" si="82"/>
        <v>97</v>
      </c>
      <c r="AM320" s="20">
        <f t="shared" si="83"/>
        <v>48500000</v>
      </c>
      <c r="AN320" s="20"/>
    </row>
    <row r="321" spans="17:44" ht="30">
      <c r="Q321" s="99" t="s">
        <v>4807</v>
      </c>
      <c r="R321" s="95">
        <v>68656</v>
      </c>
      <c r="T321" s="213" t="s">
        <v>5246</v>
      </c>
      <c r="U321" s="213">
        <v>12</v>
      </c>
      <c r="V321" s="113">
        <v>481.86</v>
      </c>
      <c r="W321" s="113">
        <f t="shared" si="81"/>
        <v>5782.32</v>
      </c>
      <c r="X321" s="36" t="s">
        <v>5251</v>
      </c>
      <c r="AH321" s="20">
        <v>88</v>
      </c>
      <c r="AI321" s="20" t="s">
        <v>5128</v>
      </c>
      <c r="AJ321" s="117">
        <v>250000</v>
      </c>
      <c r="AK321" s="20">
        <v>0</v>
      </c>
      <c r="AL321" s="20">
        <f t="shared" si="82"/>
        <v>94</v>
      </c>
      <c r="AM321" s="20">
        <f t="shared" si="83"/>
        <v>23500000</v>
      </c>
      <c r="AN321" s="20"/>
    </row>
    <row r="322" spans="17:44">
      <c r="Q322" s="99" t="s">
        <v>4820</v>
      </c>
      <c r="R322" s="95">
        <v>4000236</v>
      </c>
      <c r="T322" s="213" t="s">
        <v>5274</v>
      </c>
      <c r="U322" s="213">
        <v>12330</v>
      </c>
      <c r="V322" s="113">
        <v>486.63443869999998</v>
      </c>
      <c r="W322" s="113">
        <f t="shared" si="81"/>
        <v>6000202.6291709999</v>
      </c>
      <c r="X322" s="36" t="s">
        <v>5244</v>
      </c>
      <c r="AH322" s="260">
        <v>89</v>
      </c>
      <c r="AI322" s="260" t="s">
        <v>5128</v>
      </c>
      <c r="AJ322" s="251">
        <v>245000</v>
      </c>
      <c r="AK322" s="260">
        <v>16</v>
      </c>
      <c r="AL322" s="260">
        <f t="shared" si="82"/>
        <v>94</v>
      </c>
      <c r="AM322" s="260">
        <f t="shared" si="83"/>
        <v>23030000</v>
      </c>
      <c r="AN322" s="260"/>
    </row>
    <row r="323" spans="17:44">
      <c r="Q323" s="99" t="s">
        <v>4820</v>
      </c>
      <c r="R323" s="95">
        <v>2250000</v>
      </c>
      <c r="T323" s="213" t="s">
        <v>5279</v>
      </c>
      <c r="U323" s="213">
        <v>846</v>
      </c>
      <c r="V323" s="113">
        <v>472.7</v>
      </c>
      <c r="W323" s="113">
        <f t="shared" si="81"/>
        <v>399904.2</v>
      </c>
      <c r="X323" s="36" t="s">
        <v>452</v>
      </c>
      <c r="AH323" s="20">
        <v>90</v>
      </c>
      <c r="AI323" s="20" t="s">
        <v>5172</v>
      </c>
      <c r="AJ323" s="117">
        <v>312598</v>
      </c>
      <c r="AK323" s="20">
        <v>0</v>
      </c>
      <c r="AL323" s="20">
        <f t="shared" si="82"/>
        <v>78</v>
      </c>
      <c r="AM323" s="20">
        <f t="shared" si="83"/>
        <v>24382644</v>
      </c>
      <c r="AN323" s="20"/>
    </row>
    <row r="324" spans="17:44">
      <c r="Q324" s="99" t="s">
        <v>4825</v>
      </c>
      <c r="R324" s="95">
        <v>-2512200</v>
      </c>
      <c r="T324" s="213" t="s">
        <v>5279</v>
      </c>
      <c r="U324" s="213">
        <v>3173</v>
      </c>
      <c r="V324" s="113">
        <v>472.7</v>
      </c>
      <c r="W324" s="113">
        <f t="shared" si="81"/>
        <v>1499877.0999999999</v>
      </c>
      <c r="X324" s="36" t="s">
        <v>1084</v>
      </c>
      <c r="Y324" t="s">
        <v>25</v>
      </c>
      <c r="AH324" s="20">
        <v>91</v>
      </c>
      <c r="AI324" s="20" t="s">
        <v>5172</v>
      </c>
      <c r="AJ324" s="117">
        <v>780000</v>
      </c>
      <c r="AK324" s="20">
        <v>0</v>
      </c>
      <c r="AL324" s="20">
        <f t="shared" si="82"/>
        <v>78</v>
      </c>
      <c r="AM324" s="20">
        <f t="shared" si="83"/>
        <v>60840000</v>
      </c>
      <c r="AN324" s="20"/>
    </row>
    <row r="325" spans="17:44">
      <c r="Q325" s="99" t="s">
        <v>4834</v>
      </c>
      <c r="R325" s="95">
        <v>300000</v>
      </c>
      <c r="T325" s="213" t="s">
        <v>5285</v>
      </c>
      <c r="U325" s="213">
        <v>191</v>
      </c>
      <c r="V325" s="113">
        <v>484.572</v>
      </c>
      <c r="W325" s="113">
        <f t="shared" si="81"/>
        <v>92553.252000000008</v>
      </c>
      <c r="X325" s="36" t="s">
        <v>5286</v>
      </c>
      <c r="AH325" s="195">
        <v>92</v>
      </c>
      <c r="AI325" s="195" t="s">
        <v>5172</v>
      </c>
      <c r="AJ325" s="196">
        <v>-300000</v>
      </c>
      <c r="AK325" s="195">
        <v>1</v>
      </c>
      <c r="AL325" s="195">
        <f t="shared" si="82"/>
        <v>78</v>
      </c>
      <c r="AM325" s="195">
        <f t="shared" si="83"/>
        <v>-23400000</v>
      </c>
      <c r="AN325" s="195"/>
    </row>
    <row r="326" spans="17:44">
      <c r="Q326" s="99" t="s">
        <v>979</v>
      </c>
      <c r="R326" s="95">
        <v>1100000</v>
      </c>
      <c r="T326" s="213" t="s">
        <v>5285</v>
      </c>
      <c r="U326" s="213">
        <v>-206</v>
      </c>
      <c r="V326" s="113">
        <v>484.572</v>
      </c>
      <c r="W326" s="113">
        <f t="shared" si="81"/>
        <v>-99821.831999999995</v>
      </c>
      <c r="X326" s="36" t="s">
        <v>5288</v>
      </c>
      <c r="AH326" s="20">
        <v>93</v>
      </c>
      <c r="AI326" s="20" t="s">
        <v>5129</v>
      </c>
      <c r="AJ326" s="117">
        <v>300000</v>
      </c>
      <c r="AK326" s="20">
        <v>0</v>
      </c>
      <c r="AL326" s="20">
        <f t="shared" si="82"/>
        <v>77</v>
      </c>
      <c r="AM326" s="20">
        <f t="shared" si="83"/>
        <v>23100000</v>
      </c>
      <c r="AN326" s="20"/>
    </row>
    <row r="327" spans="17:44">
      <c r="Q327" s="99" t="s">
        <v>4841</v>
      </c>
      <c r="R327" s="95">
        <v>890000</v>
      </c>
      <c r="T327" s="213" t="s">
        <v>5290</v>
      </c>
      <c r="U327" s="213">
        <v>20685</v>
      </c>
      <c r="V327" s="113">
        <v>483.43312200000003</v>
      </c>
      <c r="W327" s="113">
        <f t="shared" si="81"/>
        <v>9999814.1285699997</v>
      </c>
      <c r="X327" s="36" t="s">
        <v>5295</v>
      </c>
      <c r="AH327" s="20">
        <v>94</v>
      </c>
      <c r="AI327" s="20" t="s">
        <v>5129</v>
      </c>
      <c r="AJ327" s="117">
        <v>8660000</v>
      </c>
      <c r="AK327" s="20">
        <v>8</v>
      </c>
      <c r="AL327" s="20">
        <f t="shared" si="82"/>
        <v>77</v>
      </c>
      <c r="AM327" s="20">
        <f t="shared" si="83"/>
        <v>666820000</v>
      </c>
      <c r="AN327" s="20"/>
    </row>
    <row r="328" spans="17:44">
      <c r="Q328" s="99" t="s">
        <v>4861</v>
      </c>
      <c r="R328" s="95">
        <v>1000000</v>
      </c>
      <c r="T328" s="213" t="s">
        <v>5290</v>
      </c>
      <c r="U328" s="213">
        <v>-413</v>
      </c>
      <c r="V328" s="113">
        <v>483.40199999999999</v>
      </c>
      <c r="W328" s="113">
        <f t="shared" si="81"/>
        <v>-199645.02599999998</v>
      </c>
      <c r="X328" s="36" t="s">
        <v>4436</v>
      </c>
      <c r="AH328" s="149">
        <v>95</v>
      </c>
      <c r="AI328" s="149" t="s">
        <v>5194</v>
      </c>
      <c r="AJ328" s="188">
        <v>200000</v>
      </c>
      <c r="AK328" s="149">
        <v>3</v>
      </c>
      <c r="AL328" s="149">
        <f t="shared" si="82"/>
        <v>69</v>
      </c>
      <c r="AM328" s="149">
        <f t="shared" si="83"/>
        <v>13800000</v>
      </c>
      <c r="AN328" s="149"/>
    </row>
    <row r="329" spans="17:44">
      <c r="Q329" s="99" t="s">
        <v>4862</v>
      </c>
      <c r="R329" s="95">
        <v>45436311</v>
      </c>
      <c r="T329" s="213" t="s">
        <v>5290</v>
      </c>
      <c r="U329" s="213">
        <v>413</v>
      </c>
      <c r="V329" s="113">
        <v>483.40199999999999</v>
      </c>
      <c r="W329" s="113">
        <f t="shared" si="81"/>
        <v>199645.02599999998</v>
      </c>
      <c r="X329" s="36" t="s">
        <v>750</v>
      </c>
      <c r="AH329" s="149">
        <v>96</v>
      </c>
      <c r="AI329" s="149" t="s">
        <v>5199</v>
      </c>
      <c r="AJ329" s="188">
        <v>20000</v>
      </c>
      <c r="AK329" s="149">
        <v>1</v>
      </c>
      <c r="AL329" s="149">
        <f t="shared" si="82"/>
        <v>66</v>
      </c>
      <c r="AM329" s="149">
        <f t="shared" si="83"/>
        <v>1320000</v>
      </c>
      <c r="AN329" s="149"/>
    </row>
    <row r="330" spans="17:44">
      <c r="Q330" s="99" t="s">
        <v>4862</v>
      </c>
      <c r="R330" s="95">
        <v>-3500000</v>
      </c>
      <c r="T330" s="213" t="s">
        <v>5299</v>
      </c>
      <c r="U330" s="213">
        <v>-828</v>
      </c>
      <c r="V330" s="113">
        <v>483.43312200000003</v>
      </c>
      <c r="W330" s="113">
        <f t="shared" si="81"/>
        <v>-400282.62501600001</v>
      </c>
      <c r="X330" s="36" t="s">
        <v>452</v>
      </c>
      <c r="AH330" s="20">
        <v>97</v>
      </c>
      <c r="AI330" s="20" t="s">
        <v>5210</v>
      </c>
      <c r="AJ330" s="117">
        <v>14340000</v>
      </c>
      <c r="AK330" s="20">
        <v>7</v>
      </c>
      <c r="AL330" s="20">
        <f t="shared" si="82"/>
        <v>65</v>
      </c>
      <c r="AM330" s="20">
        <f t="shared" si="83"/>
        <v>932100000</v>
      </c>
      <c r="AN330" s="20"/>
    </row>
    <row r="331" spans="17:44">
      <c r="Q331" s="99" t="s">
        <v>4875</v>
      </c>
      <c r="R331" s="95">
        <v>2520000</v>
      </c>
      <c r="T331" s="213" t="s">
        <v>5305</v>
      </c>
      <c r="U331" s="213">
        <v>12</v>
      </c>
      <c r="V331" s="113">
        <v>473.61898300000001</v>
      </c>
      <c r="W331" s="113">
        <f t="shared" si="81"/>
        <v>5683.4277959999999</v>
      </c>
      <c r="X331" s="36" t="s">
        <v>452</v>
      </c>
      <c r="AH331" s="20">
        <v>98</v>
      </c>
      <c r="AI331" s="20" t="s">
        <v>5221</v>
      </c>
      <c r="AJ331" s="117">
        <v>10000000</v>
      </c>
      <c r="AK331" s="20">
        <v>6</v>
      </c>
      <c r="AL331" s="20">
        <f t="shared" si="82"/>
        <v>58</v>
      </c>
      <c r="AM331" s="20">
        <f t="shared" si="83"/>
        <v>580000000</v>
      </c>
      <c r="AN331" s="20" t="s">
        <v>4746</v>
      </c>
    </row>
    <row r="332" spans="17:44">
      <c r="Q332" s="99" t="s">
        <v>4910</v>
      </c>
      <c r="R332" s="95">
        <v>4900000</v>
      </c>
      <c r="S332" s="114"/>
      <c r="T332" s="213" t="s">
        <v>5309</v>
      </c>
      <c r="U332" s="213">
        <v>963</v>
      </c>
      <c r="V332" s="113">
        <v>477.92200000000003</v>
      </c>
      <c r="W332" s="113">
        <f t="shared" si="81"/>
        <v>460238.886</v>
      </c>
      <c r="X332" s="36" t="s">
        <v>452</v>
      </c>
      <c r="Z332" t="s">
        <v>25</v>
      </c>
      <c r="AH332" s="20">
        <v>99</v>
      </c>
      <c r="AI332" s="20" t="s">
        <v>5230</v>
      </c>
      <c r="AJ332" s="117">
        <v>4033949</v>
      </c>
      <c r="AK332" s="20">
        <v>2</v>
      </c>
      <c r="AL332" s="20">
        <f t="shared" si="82"/>
        <v>52</v>
      </c>
      <c r="AM332" s="20">
        <f t="shared" si="83"/>
        <v>209765348</v>
      </c>
      <c r="AN332" s="20" t="s">
        <v>5234</v>
      </c>
      <c r="AR332" t="s">
        <v>25</v>
      </c>
    </row>
    <row r="333" spans="17:44">
      <c r="Q333" s="99" t="s">
        <v>4931</v>
      </c>
      <c r="R333" s="95">
        <v>1150000</v>
      </c>
      <c r="T333" s="213" t="s">
        <v>5310</v>
      </c>
      <c r="U333" s="213">
        <v>2815</v>
      </c>
      <c r="V333" s="113">
        <v>461.79</v>
      </c>
      <c r="W333" s="113">
        <f t="shared" si="81"/>
        <v>1299938.8500000001</v>
      </c>
      <c r="X333" s="36" t="s">
        <v>452</v>
      </c>
      <c r="AH333" s="149">
        <v>100</v>
      </c>
      <c r="AI333" s="149" t="s">
        <v>5239</v>
      </c>
      <c r="AJ333" s="188">
        <v>11500000</v>
      </c>
      <c r="AK333" s="149">
        <v>2</v>
      </c>
      <c r="AL333" s="149">
        <f t="shared" si="82"/>
        <v>50</v>
      </c>
      <c r="AM333" s="149">
        <f t="shared" si="83"/>
        <v>575000000</v>
      </c>
      <c r="AN333" s="149" t="s">
        <v>5242</v>
      </c>
    </row>
    <row r="334" spans="17:44">
      <c r="Q334" s="99" t="s">
        <v>4882</v>
      </c>
      <c r="R334" s="95">
        <v>250000</v>
      </c>
      <c r="T334" s="213" t="s">
        <v>5310</v>
      </c>
      <c r="U334" s="213">
        <v>1581</v>
      </c>
      <c r="V334" s="113">
        <v>461.79</v>
      </c>
      <c r="W334" s="113">
        <f t="shared" si="81"/>
        <v>730089.99</v>
      </c>
      <c r="X334" s="36" t="s">
        <v>452</v>
      </c>
      <c r="AH334" s="149">
        <v>101</v>
      </c>
      <c r="AI334" s="149" t="s">
        <v>5246</v>
      </c>
      <c r="AJ334" s="188">
        <v>250000</v>
      </c>
      <c r="AK334" s="149">
        <v>3</v>
      </c>
      <c r="AL334" s="149">
        <f t="shared" si="82"/>
        <v>48</v>
      </c>
      <c r="AM334" s="149">
        <f t="shared" si="83"/>
        <v>12000000</v>
      </c>
      <c r="AN334" s="149"/>
    </row>
    <row r="335" spans="17:44">
      <c r="Q335" s="99" t="s">
        <v>4972</v>
      </c>
      <c r="R335" s="95">
        <v>1403460</v>
      </c>
      <c r="T335" s="213" t="s">
        <v>5321</v>
      </c>
      <c r="U335" s="213">
        <v>1916</v>
      </c>
      <c r="V335" s="113">
        <v>521.70000000000005</v>
      </c>
      <c r="W335" s="113">
        <f t="shared" si="81"/>
        <v>999577.20000000007</v>
      </c>
      <c r="X335" s="36" t="s">
        <v>1084</v>
      </c>
      <c r="AH335" s="149">
        <v>102</v>
      </c>
      <c r="AI335" s="149" t="s">
        <v>5274</v>
      </c>
      <c r="AJ335" s="188">
        <v>6000000</v>
      </c>
      <c r="AK335" s="149">
        <v>1</v>
      </c>
      <c r="AL335" s="149">
        <f t="shared" si="82"/>
        <v>45</v>
      </c>
      <c r="AM335" s="149">
        <f t="shared" si="83"/>
        <v>270000000</v>
      </c>
      <c r="AN335" s="149" t="s">
        <v>5242</v>
      </c>
    </row>
    <row r="336" spans="17:44">
      <c r="Q336" s="99" t="s">
        <v>4977</v>
      </c>
      <c r="R336" s="95">
        <v>200000</v>
      </c>
      <c r="T336" s="213" t="s">
        <v>990</v>
      </c>
      <c r="U336" s="213">
        <v>41</v>
      </c>
      <c r="V336" s="113">
        <v>514.48099999999999</v>
      </c>
      <c r="W336" s="113">
        <f t="shared" si="81"/>
        <v>21093.721000000001</v>
      </c>
      <c r="X336" s="36" t="s">
        <v>5286</v>
      </c>
      <c r="AH336" s="149">
        <v>103</v>
      </c>
      <c r="AI336" s="149" t="s">
        <v>5279</v>
      </c>
      <c r="AJ336" s="188">
        <v>1500000</v>
      </c>
      <c r="AK336" s="149">
        <v>6</v>
      </c>
      <c r="AL336" s="149">
        <f t="shared" si="82"/>
        <v>44</v>
      </c>
      <c r="AM336" s="149">
        <f t="shared" si="83"/>
        <v>66000000</v>
      </c>
      <c r="AN336" s="149" t="s">
        <v>5242</v>
      </c>
      <c r="AR336" t="s">
        <v>25</v>
      </c>
    </row>
    <row r="337" spans="17:46">
      <c r="Q337" s="99" t="s">
        <v>4983</v>
      </c>
      <c r="R337" s="95">
        <v>345000</v>
      </c>
      <c r="T337" s="213" t="s">
        <v>4272</v>
      </c>
      <c r="U337" s="213">
        <v>71</v>
      </c>
      <c r="V337" s="113">
        <v>482.57</v>
      </c>
      <c r="W337" s="113">
        <f t="shared" si="81"/>
        <v>34262.47</v>
      </c>
      <c r="X337" s="36" t="s">
        <v>5286</v>
      </c>
      <c r="AH337" s="20">
        <v>104</v>
      </c>
      <c r="AI337" s="20" t="s">
        <v>973</v>
      </c>
      <c r="AJ337" s="117">
        <v>-3960043</v>
      </c>
      <c r="AK337" s="20">
        <v>2</v>
      </c>
      <c r="AL337" s="20">
        <f t="shared" si="82"/>
        <v>38</v>
      </c>
      <c r="AM337" s="20">
        <f t="shared" si="83"/>
        <v>-150481634</v>
      </c>
      <c r="AN337" s="20"/>
      <c r="AS337" t="s">
        <v>25</v>
      </c>
    </row>
    <row r="338" spans="17:46">
      <c r="Q338" s="99" t="s">
        <v>4988</v>
      </c>
      <c r="R338" s="95">
        <v>900000</v>
      </c>
      <c r="T338" s="213" t="s">
        <v>5348</v>
      </c>
      <c r="U338" s="213">
        <v>-250</v>
      </c>
      <c r="V338" s="113">
        <v>487.125</v>
      </c>
      <c r="W338" s="113">
        <f t="shared" si="81"/>
        <v>-121781.25</v>
      </c>
      <c r="X338" s="36" t="s">
        <v>4436</v>
      </c>
      <c r="AH338" s="20">
        <v>105</v>
      </c>
      <c r="AI338" s="20" t="s">
        <v>5309</v>
      </c>
      <c r="AJ338" s="117">
        <v>230000</v>
      </c>
      <c r="AK338" s="20">
        <v>0</v>
      </c>
      <c r="AL338" s="20">
        <f t="shared" si="82"/>
        <v>36</v>
      </c>
      <c r="AM338" s="20">
        <f t="shared" si="83"/>
        <v>8280000</v>
      </c>
      <c r="AN338" s="20"/>
      <c r="AR338" t="s">
        <v>25</v>
      </c>
      <c r="AT338" s="96" t="s">
        <v>25</v>
      </c>
    </row>
    <row r="339" spans="17:46">
      <c r="Q339" s="99" t="s">
        <v>4992</v>
      </c>
      <c r="R339" s="95">
        <v>372517</v>
      </c>
      <c r="T339" s="213" t="s">
        <v>5348</v>
      </c>
      <c r="U339" s="213">
        <v>250</v>
      </c>
      <c r="V339" s="113">
        <v>487.125</v>
      </c>
      <c r="W339" s="113">
        <f t="shared" si="81"/>
        <v>121781.25</v>
      </c>
      <c r="X339" s="36" t="s">
        <v>750</v>
      </c>
      <c r="AH339" s="149">
        <v>106</v>
      </c>
      <c r="AI339" s="149" t="s">
        <v>5309</v>
      </c>
      <c r="AJ339" s="188">
        <v>230000</v>
      </c>
      <c r="AK339" s="149">
        <v>1</v>
      </c>
      <c r="AL339" s="149">
        <f t="shared" ref="AL339:AL343" si="84">AK339+AL340</f>
        <v>36</v>
      </c>
      <c r="AM339" s="149">
        <f t="shared" ref="AM339:AM343" si="85">AJ339*AL339</f>
        <v>8280000</v>
      </c>
      <c r="AN339" s="149"/>
      <c r="AS339" t="s">
        <v>25</v>
      </c>
    </row>
    <row r="340" spans="17:46">
      <c r="Q340" s="99" t="s">
        <v>5003</v>
      </c>
      <c r="R340" s="95">
        <v>6489257</v>
      </c>
      <c r="T340" s="213" t="s">
        <v>5360</v>
      </c>
      <c r="U340" s="213">
        <v>-1439</v>
      </c>
      <c r="V340" s="113">
        <v>486.53068999999999</v>
      </c>
      <c r="W340" s="113">
        <f t="shared" si="81"/>
        <v>-700117.66290999996</v>
      </c>
      <c r="X340" s="36" t="s">
        <v>4436</v>
      </c>
      <c r="AH340" s="149">
        <v>107</v>
      </c>
      <c r="AI340" s="149" t="s">
        <v>5310</v>
      </c>
      <c r="AJ340" s="188">
        <v>500000</v>
      </c>
      <c r="AK340" s="149">
        <v>1</v>
      </c>
      <c r="AL340" s="149">
        <f t="shared" si="84"/>
        <v>35</v>
      </c>
      <c r="AM340" s="149">
        <f t="shared" si="85"/>
        <v>17500000</v>
      </c>
      <c r="AN340" s="149"/>
    </row>
    <row r="341" spans="17:46">
      <c r="Q341" s="99" t="s">
        <v>5056</v>
      </c>
      <c r="R341" s="95">
        <v>618000</v>
      </c>
      <c r="T341" s="213" t="s">
        <v>5360</v>
      </c>
      <c r="U341" s="213">
        <v>411</v>
      </c>
      <c r="V341" s="113">
        <v>486.53068999999999</v>
      </c>
      <c r="W341" s="113">
        <f t="shared" si="81"/>
        <v>199964.11358999999</v>
      </c>
      <c r="X341" s="36" t="s">
        <v>750</v>
      </c>
      <c r="AH341" s="20">
        <v>108</v>
      </c>
      <c r="AI341" s="20" t="s">
        <v>5316</v>
      </c>
      <c r="AJ341" s="117">
        <v>-880000</v>
      </c>
      <c r="AK341" s="20">
        <v>4</v>
      </c>
      <c r="AL341" s="20">
        <f t="shared" si="84"/>
        <v>34</v>
      </c>
      <c r="AM341" s="20">
        <f t="shared" si="85"/>
        <v>-29920000</v>
      </c>
      <c r="AN341" s="20"/>
    </row>
    <row r="342" spans="17:46">
      <c r="Q342" s="99" t="s">
        <v>5070</v>
      </c>
      <c r="R342" s="95">
        <v>20105000</v>
      </c>
      <c r="T342" s="213" t="s">
        <v>5308</v>
      </c>
      <c r="U342" s="213">
        <v>-4290</v>
      </c>
      <c r="V342" s="113">
        <v>497.57670000000002</v>
      </c>
      <c r="W342" s="113">
        <f t="shared" si="81"/>
        <v>-2134604.0430000001</v>
      </c>
      <c r="X342" s="36" t="s">
        <v>452</v>
      </c>
      <c r="AH342" s="195">
        <v>109</v>
      </c>
      <c r="AI342" s="195" t="s">
        <v>5321</v>
      </c>
      <c r="AJ342" s="196">
        <v>873000</v>
      </c>
      <c r="AK342" s="195">
        <v>0</v>
      </c>
      <c r="AL342" s="195">
        <f t="shared" si="84"/>
        <v>30</v>
      </c>
      <c r="AM342" s="195">
        <f t="shared" si="85"/>
        <v>26190000</v>
      </c>
      <c r="AN342" s="195" t="s">
        <v>5242</v>
      </c>
    </row>
    <row r="343" spans="17:46">
      <c r="Q343" s="99" t="s">
        <v>5075</v>
      </c>
      <c r="R343" s="95">
        <v>-21079990</v>
      </c>
      <c r="T343" s="213" t="s">
        <v>5375</v>
      </c>
      <c r="U343" s="213">
        <v>-644</v>
      </c>
      <c r="V343" s="113">
        <v>494.76464499999997</v>
      </c>
      <c r="W343" s="113">
        <f t="shared" si="81"/>
        <v>-318628.43137999997</v>
      </c>
      <c r="X343" s="36" t="s">
        <v>452</v>
      </c>
      <c r="AH343" s="20">
        <v>110</v>
      </c>
      <c r="AI343" s="20" t="s">
        <v>5321</v>
      </c>
      <c r="AJ343" s="117">
        <v>127000</v>
      </c>
      <c r="AK343" s="20">
        <v>0</v>
      </c>
      <c r="AL343" s="20">
        <f t="shared" si="84"/>
        <v>30</v>
      </c>
      <c r="AM343" s="20">
        <f t="shared" si="85"/>
        <v>3810000</v>
      </c>
      <c r="AN343" s="20" t="s">
        <v>5242</v>
      </c>
    </row>
    <row r="344" spans="17:46">
      <c r="Q344" s="99" t="s">
        <v>5076</v>
      </c>
      <c r="R344" s="95">
        <v>-5949277</v>
      </c>
      <c r="T344" s="213" t="s">
        <v>5379</v>
      </c>
      <c r="U344" s="213">
        <v>-112</v>
      </c>
      <c r="V344" s="113">
        <v>485.78</v>
      </c>
      <c r="W344" s="113">
        <f t="shared" si="81"/>
        <v>-54407.360000000001</v>
      </c>
      <c r="X344" s="36" t="s">
        <v>452</v>
      </c>
      <c r="AH344" s="20">
        <v>111</v>
      </c>
      <c r="AI344" s="20" t="s">
        <v>5321</v>
      </c>
      <c r="AJ344" s="117">
        <v>73000</v>
      </c>
      <c r="AK344" s="20">
        <v>1</v>
      </c>
      <c r="AL344" s="20">
        <f t="shared" ref="AL344:AL348" si="86">AK344+AL345</f>
        <v>30</v>
      </c>
      <c r="AM344" s="20">
        <f t="shared" ref="AM344:AM348" si="87">AJ344*AL344</f>
        <v>2190000</v>
      </c>
      <c r="AN344" s="20"/>
    </row>
    <row r="345" spans="17:46">
      <c r="Q345" s="99" t="s">
        <v>5083</v>
      </c>
      <c r="R345" s="95">
        <v>-15370656</v>
      </c>
      <c r="T345" s="213" t="s">
        <v>5379</v>
      </c>
      <c r="U345" s="213">
        <v>123</v>
      </c>
      <c r="V345" s="113">
        <v>485.78</v>
      </c>
      <c r="W345" s="113">
        <f t="shared" si="81"/>
        <v>59750.939999999995</v>
      </c>
      <c r="X345" s="36" t="s">
        <v>750</v>
      </c>
      <c r="AH345" s="20">
        <v>112</v>
      </c>
      <c r="AI345" s="20" t="s">
        <v>990</v>
      </c>
      <c r="AJ345" s="117">
        <v>4300000</v>
      </c>
      <c r="AK345" s="20">
        <v>1</v>
      </c>
      <c r="AL345" s="20">
        <f t="shared" si="86"/>
        <v>29</v>
      </c>
      <c r="AM345" s="20">
        <f t="shared" si="87"/>
        <v>124700000</v>
      </c>
      <c r="AN345" s="20"/>
    </row>
    <row r="346" spans="17:46">
      <c r="Q346" s="99" t="s">
        <v>5090</v>
      </c>
      <c r="R346" s="95">
        <v>4960000</v>
      </c>
      <c r="T346" s="213" t="s">
        <v>5379</v>
      </c>
      <c r="U346" s="213">
        <v>-123</v>
      </c>
      <c r="V346" s="113">
        <v>485.78</v>
      </c>
      <c r="W346" s="113">
        <f t="shared" si="81"/>
        <v>-59750.939999999995</v>
      </c>
      <c r="X346" s="36" t="s">
        <v>4436</v>
      </c>
      <c r="AA346" t="s">
        <v>25</v>
      </c>
      <c r="AH346" s="20">
        <v>113</v>
      </c>
      <c r="AI346" s="20" t="s">
        <v>5147</v>
      </c>
      <c r="AJ346" s="117">
        <v>1600000</v>
      </c>
      <c r="AK346" s="20">
        <v>0</v>
      </c>
      <c r="AL346" s="20">
        <f t="shared" si="86"/>
        <v>28</v>
      </c>
      <c r="AM346" s="20">
        <f t="shared" si="87"/>
        <v>44800000</v>
      </c>
      <c r="AN346" s="20"/>
    </row>
    <row r="347" spans="17:46">
      <c r="Q347" s="99" t="s">
        <v>5090</v>
      </c>
      <c r="R347" s="95">
        <v>10000000</v>
      </c>
      <c r="T347" s="168"/>
      <c r="U347" s="168"/>
      <c r="V347" s="113"/>
      <c r="W347" s="113"/>
      <c r="X347" s="99"/>
      <c r="AH347" s="20">
        <v>114</v>
      </c>
      <c r="AI347" s="20" t="s">
        <v>4272</v>
      </c>
      <c r="AJ347" s="117">
        <v>-10000000</v>
      </c>
      <c r="AK347" s="20">
        <v>1</v>
      </c>
      <c r="AL347" s="20">
        <f t="shared" si="86"/>
        <v>28</v>
      </c>
      <c r="AM347" s="20">
        <f t="shared" si="87"/>
        <v>-280000000</v>
      </c>
      <c r="AN347" s="20" t="s">
        <v>5334</v>
      </c>
    </row>
    <row r="348" spans="17:46">
      <c r="Q348" s="99" t="s">
        <v>5099</v>
      </c>
      <c r="R348" s="95">
        <v>-40570100</v>
      </c>
      <c r="T348" s="168"/>
      <c r="U348" s="168">
        <f>SUM(U208:U347)</f>
        <v>3653717</v>
      </c>
      <c r="V348" s="99"/>
      <c r="W348" s="99"/>
      <c r="X348" s="99"/>
      <c r="AH348" s="20">
        <v>115</v>
      </c>
      <c r="AI348" s="20" t="s">
        <v>5333</v>
      </c>
      <c r="AJ348" s="117">
        <v>571000</v>
      </c>
      <c r="AK348" s="20">
        <v>4</v>
      </c>
      <c r="AL348" s="20">
        <f t="shared" si="86"/>
        <v>27</v>
      </c>
      <c r="AM348" s="20">
        <f t="shared" si="87"/>
        <v>15417000</v>
      </c>
      <c r="AN348" s="20"/>
    </row>
    <row r="349" spans="17:46">
      <c r="Q349" s="99" t="s">
        <v>5115</v>
      </c>
      <c r="R349" s="95">
        <v>1000000</v>
      </c>
      <c r="T349" s="99"/>
      <c r="U349" s="99" t="s">
        <v>6</v>
      </c>
      <c r="V349" s="99"/>
      <c r="W349" s="99"/>
      <c r="X349" s="99"/>
      <c r="AH349" s="20">
        <v>116</v>
      </c>
      <c r="AI349" s="20" t="s">
        <v>5338</v>
      </c>
      <c r="AJ349" s="117">
        <v>200000</v>
      </c>
      <c r="AK349" s="20">
        <v>3</v>
      </c>
      <c r="AL349" s="20">
        <f t="shared" ref="AL349:AL362" si="88">AK349+AL350</f>
        <v>23</v>
      </c>
      <c r="AM349" s="20">
        <f t="shared" ref="AM349:AM362" si="89">AJ349*AL349</f>
        <v>4600000</v>
      </c>
      <c r="AN349" s="20"/>
    </row>
    <row r="350" spans="17:46">
      <c r="Q350" s="99" t="s">
        <v>5116</v>
      </c>
      <c r="R350" s="95">
        <v>400000</v>
      </c>
      <c r="T350" s="200" t="s">
        <v>4472</v>
      </c>
      <c r="AH350" s="149">
        <v>117</v>
      </c>
      <c r="AI350" s="149" t="s">
        <v>5348</v>
      </c>
      <c r="AJ350" s="188">
        <v>50000</v>
      </c>
      <c r="AK350" s="149">
        <v>7</v>
      </c>
      <c r="AL350" s="149">
        <f t="shared" si="88"/>
        <v>20</v>
      </c>
      <c r="AM350" s="149">
        <f t="shared" si="89"/>
        <v>1000000</v>
      </c>
      <c r="AN350" s="149"/>
    </row>
    <row r="351" spans="17:46">
      <c r="Q351" s="99" t="s">
        <v>5123</v>
      </c>
      <c r="R351" s="95">
        <v>120000</v>
      </c>
      <c r="T351" s="199">
        <f>R221/U348</f>
        <v>476.02311697922966</v>
      </c>
      <c r="AH351" s="20">
        <v>118</v>
      </c>
      <c r="AI351" s="20" t="s">
        <v>5360</v>
      </c>
      <c r="AJ351" s="117">
        <v>-500000</v>
      </c>
      <c r="AK351" s="20">
        <v>12</v>
      </c>
      <c r="AL351" s="20">
        <f t="shared" si="88"/>
        <v>13</v>
      </c>
      <c r="AM351" s="20">
        <f t="shared" si="89"/>
        <v>-6500000</v>
      </c>
      <c r="AN351" s="20"/>
    </row>
    <row r="352" spans="17:46">
      <c r="Q352" s="99" t="s">
        <v>5143</v>
      </c>
      <c r="R352" s="95">
        <v>500000</v>
      </c>
      <c r="W352" s="114"/>
      <c r="AH352" s="149">
        <v>119</v>
      </c>
      <c r="AI352" s="149" t="s">
        <v>989</v>
      </c>
      <c r="AJ352" s="188">
        <v>-50000</v>
      </c>
      <c r="AK352" s="149">
        <v>0</v>
      </c>
      <c r="AL352" s="149">
        <f t="shared" si="88"/>
        <v>1</v>
      </c>
      <c r="AM352" s="149">
        <f t="shared" si="89"/>
        <v>-50000</v>
      </c>
      <c r="AN352" s="149"/>
    </row>
    <row r="353" spans="17:45">
      <c r="Q353" s="99" t="s">
        <v>5128</v>
      </c>
      <c r="R353" s="95">
        <v>744000</v>
      </c>
      <c r="U353" s="96" t="s">
        <v>267</v>
      </c>
      <c r="V353" t="s">
        <v>4473</v>
      </c>
      <c r="X353" t="s">
        <v>25</v>
      </c>
      <c r="AH353" s="20">
        <v>120</v>
      </c>
      <c r="AI353" s="20" t="s">
        <v>989</v>
      </c>
      <c r="AJ353" s="117">
        <v>-50000</v>
      </c>
      <c r="AK353" s="20">
        <v>1</v>
      </c>
      <c r="AL353" s="20">
        <f t="shared" si="88"/>
        <v>1</v>
      </c>
      <c r="AM353" s="20">
        <f t="shared" si="89"/>
        <v>-50000</v>
      </c>
      <c r="AN353" s="20"/>
    </row>
    <row r="354" spans="17:45">
      <c r="Q354" s="99" t="s">
        <v>5159</v>
      </c>
      <c r="R354" s="95">
        <v>65000</v>
      </c>
      <c r="T354" s="114"/>
      <c r="U354" s="113">
        <v>60000</v>
      </c>
      <c r="V354">
        <f>U354/T351</f>
        <v>126.04429881630725</v>
      </c>
      <c r="X354" t="s">
        <v>25</v>
      </c>
      <c r="AH354" s="20"/>
      <c r="AI354" s="20"/>
      <c r="AJ354" s="117"/>
      <c r="AK354" s="20"/>
      <c r="AL354" s="20">
        <f t="shared" si="88"/>
        <v>0</v>
      </c>
      <c r="AM354" s="20">
        <f t="shared" si="89"/>
        <v>0</v>
      </c>
      <c r="AN354" s="20"/>
    </row>
    <row r="355" spans="17:45">
      <c r="Q355" s="99" t="s">
        <v>5167</v>
      </c>
      <c r="R355" s="95">
        <v>-14053702</v>
      </c>
      <c r="X355" t="s">
        <v>25</v>
      </c>
      <c r="AH355" s="20"/>
      <c r="AI355" s="20"/>
      <c r="AJ355" s="117"/>
      <c r="AK355" s="20"/>
      <c r="AL355" s="20">
        <f t="shared" si="88"/>
        <v>0</v>
      </c>
      <c r="AM355" s="20">
        <f t="shared" si="89"/>
        <v>0</v>
      </c>
      <c r="AN355" s="20"/>
    </row>
    <row r="356" spans="17:45" ht="30">
      <c r="Q356" s="99" t="s">
        <v>5129</v>
      </c>
      <c r="R356" s="95">
        <v>3555678</v>
      </c>
      <c r="V356" s="22" t="s">
        <v>5320</v>
      </c>
      <c r="W356" s="223"/>
      <c r="X356" s="96" t="s">
        <v>25</v>
      </c>
      <c r="Y356" t="s">
        <v>25</v>
      </c>
      <c r="AH356" s="20"/>
      <c r="AI356" s="20"/>
      <c r="AJ356" s="117"/>
      <c r="AK356" s="20"/>
      <c r="AL356" s="20">
        <f t="shared" si="88"/>
        <v>0</v>
      </c>
      <c r="AM356" s="20">
        <f t="shared" si="89"/>
        <v>0</v>
      </c>
      <c r="AN356" s="20"/>
    </row>
    <row r="357" spans="17:45">
      <c r="Q357" s="99" t="s">
        <v>5212</v>
      </c>
      <c r="R357" s="95">
        <v>3495</v>
      </c>
      <c r="W357" s="96" t="s">
        <v>25</v>
      </c>
      <c r="X357" t="s">
        <v>25</v>
      </c>
      <c r="Y357" t="s">
        <v>25</v>
      </c>
      <c r="AH357" s="20"/>
      <c r="AI357" s="20"/>
      <c r="AJ357" s="117"/>
      <c r="AK357" s="20"/>
      <c r="AL357" s="20">
        <f t="shared" si="88"/>
        <v>0</v>
      </c>
      <c r="AM357" s="20">
        <f t="shared" si="89"/>
        <v>0</v>
      </c>
      <c r="AN357" s="20"/>
    </row>
    <row r="358" spans="17:45">
      <c r="Q358" s="99" t="s">
        <v>5221</v>
      </c>
      <c r="R358" s="95">
        <v>6000000</v>
      </c>
      <c r="X358" t="s">
        <v>25</v>
      </c>
      <c r="AH358" s="20"/>
      <c r="AI358" s="20"/>
      <c r="AJ358" s="117"/>
      <c r="AK358" s="20"/>
      <c r="AL358" s="20">
        <f t="shared" si="88"/>
        <v>0</v>
      </c>
      <c r="AM358" s="20">
        <f t="shared" si="89"/>
        <v>0</v>
      </c>
      <c r="AN358" s="20"/>
      <c r="AS358" t="s">
        <v>25</v>
      </c>
    </row>
    <row r="359" spans="17:45" ht="60">
      <c r="Q359" s="99" t="s">
        <v>5227</v>
      </c>
      <c r="R359" s="95">
        <v>17220</v>
      </c>
      <c r="S359" s="114"/>
      <c r="T359" s="22" t="s">
        <v>4456</v>
      </c>
      <c r="V359" s="223"/>
      <c r="X359" t="s">
        <v>25</v>
      </c>
      <c r="Y359" t="s">
        <v>25</v>
      </c>
      <c r="AH359" s="20"/>
      <c r="AI359" s="20"/>
      <c r="AJ359" s="117"/>
      <c r="AK359" s="20"/>
      <c r="AL359" s="20">
        <f t="shared" si="88"/>
        <v>0</v>
      </c>
      <c r="AM359" s="20">
        <f t="shared" si="89"/>
        <v>0</v>
      </c>
      <c r="AN359" s="20"/>
    </row>
    <row r="360" spans="17:45" ht="45">
      <c r="Q360" s="99" t="s">
        <v>5228</v>
      </c>
      <c r="R360" s="95">
        <v>8249</v>
      </c>
      <c r="T360" s="22" t="s">
        <v>4457</v>
      </c>
      <c r="Y360" t="s">
        <v>25</v>
      </c>
      <c r="AH360" s="20"/>
      <c r="AI360" s="20"/>
      <c r="AJ360" s="117"/>
      <c r="AK360" s="20"/>
      <c r="AL360" s="20">
        <f t="shared" si="88"/>
        <v>0</v>
      </c>
      <c r="AM360" s="20">
        <f t="shared" si="89"/>
        <v>0</v>
      </c>
      <c r="AN360" s="20"/>
    </row>
    <row r="361" spans="17:45">
      <c r="Q361" s="99" t="s">
        <v>5230</v>
      </c>
      <c r="R361" s="95">
        <v>6937</v>
      </c>
      <c r="AH361" s="20"/>
      <c r="AI361" s="20"/>
      <c r="AJ361" s="117"/>
      <c r="AK361" s="20"/>
      <c r="AL361" s="20">
        <f t="shared" si="88"/>
        <v>0</v>
      </c>
      <c r="AM361" s="20">
        <f t="shared" si="89"/>
        <v>0</v>
      </c>
      <c r="AN361" s="20"/>
    </row>
    <row r="362" spans="17:45">
      <c r="Q362" s="99" t="s">
        <v>5230</v>
      </c>
      <c r="R362" s="95">
        <v>4046552</v>
      </c>
      <c r="AH362" s="99"/>
      <c r="AI362" s="99"/>
      <c r="AJ362" s="117"/>
      <c r="AK362" s="99"/>
      <c r="AL362" s="20">
        <f t="shared" si="88"/>
        <v>0</v>
      </c>
      <c r="AM362" s="20">
        <f t="shared" si="89"/>
        <v>0</v>
      </c>
      <c r="AN362" s="20"/>
    </row>
    <row r="363" spans="17:45">
      <c r="Q363" s="99" t="s">
        <v>5235</v>
      </c>
      <c r="R363" s="95">
        <v>-3884943</v>
      </c>
      <c r="T363" s="99" t="s">
        <v>4474</v>
      </c>
      <c r="U363" s="99" t="s">
        <v>4446</v>
      </c>
      <c r="V363" s="99" t="s">
        <v>951</v>
      </c>
      <c r="W363" s="74"/>
      <c r="AH363" s="99"/>
      <c r="AI363" s="99"/>
      <c r="AJ363" s="117"/>
      <c r="AK363" s="99"/>
      <c r="AL363" s="20">
        <f t="shared" si="82"/>
        <v>0</v>
      </c>
      <c r="AM363" s="20">
        <f t="shared" si="83"/>
        <v>0</v>
      </c>
      <c r="AN363" s="99"/>
    </row>
    <row r="364" spans="17:45">
      <c r="Q364" s="99" t="s">
        <v>5246</v>
      </c>
      <c r="R364" s="95">
        <v>6022</v>
      </c>
      <c r="T364" s="95">
        <f>S250+R297+R380</f>
        <v>928559366</v>
      </c>
      <c r="U364" s="95">
        <f>R221</f>
        <v>1739253754.9000001</v>
      </c>
      <c r="V364" s="95">
        <f>U364-T364</f>
        <v>810694388.9000001</v>
      </c>
      <c r="AH364" s="99"/>
      <c r="AI364" s="99"/>
      <c r="AJ364" s="95">
        <f>SUM(AJ234:AJ363)</f>
        <v>452087852</v>
      </c>
      <c r="AK364" s="99"/>
      <c r="AL364" s="99"/>
      <c r="AM364" s="99">
        <f>SUM(AM234:AM363)</f>
        <v>102639595731</v>
      </c>
      <c r="AN364" s="95">
        <f>AM364*AN220/31</f>
        <v>55183682.001566999</v>
      </c>
    </row>
    <row r="365" spans="17:45">
      <c r="Q365" s="99" t="s">
        <v>5279</v>
      </c>
      <c r="R365" s="95">
        <v>400000</v>
      </c>
      <c r="AJ365" t="s">
        <v>4056</v>
      </c>
      <c r="AM365" t="s">
        <v>284</v>
      </c>
      <c r="AN365" t="s">
        <v>941</v>
      </c>
    </row>
    <row r="366" spans="17:45">
      <c r="Q366" s="99" t="s">
        <v>5285</v>
      </c>
      <c r="R366" s="95">
        <v>92847</v>
      </c>
    </row>
    <row r="367" spans="17:45">
      <c r="Q367" s="99" t="s">
        <v>5285</v>
      </c>
      <c r="R367" s="95">
        <v>-100000</v>
      </c>
      <c r="AI367" t="s">
        <v>4058</v>
      </c>
      <c r="AJ367" s="114">
        <f>AJ364+AN364</f>
        <v>507271534.00156701</v>
      </c>
    </row>
    <row r="368" spans="17:45">
      <c r="Q368" s="99" t="s">
        <v>5290</v>
      </c>
      <c r="R368" s="95">
        <v>10000000</v>
      </c>
      <c r="AI368" t="s">
        <v>4061</v>
      </c>
      <c r="AJ368" s="114">
        <f>SUM(N20:N31)</f>
        <v>748389885.60000002</v>
      </c>
    </row>
    <row r="369" spans="17:40">
      <c r="Q369" s="99" t="s">
        <v>5299</v>
      </c>
      <c r="R369" s="95">
        <v>-400000</v>
      </c>
      <c r="T369" t="s">
        <v>25</v>
      </c>
      <c r="AI369" t="s">
        <v>4133</v>
      </c>
      <c r="AJ369" s="114">
        <f>AJ368-AJ364</f>
        <v>296302033.60000002</v>
      </c>
    </row>
    <row r="370" spans="17:40">
      <c r="Q370" s="99" t="s">
        <v>5307</v>
      </c>
      <c r="R370" s="95">
        <v>5649</v>
      </c>
      <c r="T370" t="s">
        <v>25</v>
      </c>
      <c r="AI370" t="s">
        <v>941</v>
      </c>
      <c r="AJ370" s="114">
        <f>AN364</f>
        <v>55183682.001566999</v>
      </c>
    </row>
    <row r="371" spans="17:40">
      <c r="Q371" s="99" t="s">
        <v>5309</v>
      </c>
      <c r="R371" s="95">
        <v>460000</v>
      </c>
      <c r="AI371" t="s">
        <v>4062</v>
      </c>
      <c r="AJ371" s="114">
        <f>AJ369-AJ370</f>
        <v>241118351.59843302</v>
      </c>
      <c r="AM371" t="s">
        <v>25</v>
      </c>
      <c r="AN371" t="s">
        <v>25</v>
      </c>
    </row>
    <row r="372" spans="17:40">
      <c r="Q372" s="99" t="s">
        <v>5310</v>
      </c>
      <c r="R372" s="95">
        <v>1300000</v>
      </c>
      <c r="T372" t="s">
        <v>25</v>
      </c>
      <c r="AN372" t="s">
        <v>25</v>
      </c>
    </row>
    <row r="373" spans="17:40">
      <c r="Q373" s="99" t="s">
        <v>5310</v>
      </c>
      <c r="R373" s="95">
        <v>7300000</v>
      </c>
      <c r="T373" t="s">
        <v>25</v>
      </c>
    </row>
    <row r="374" spans="17:40">
      <c r="Q374" s="99" t="s">
        <v>990</v>
      </c>
      <c r="R374" s="95">
        <v>21203</v>
      </c>
    </row>
    <row r="375" spans="17:40">
      <c r="Q375" s="99" t="s">
        <v>4272</v>
      </c>
      <c r="R375" s="95">
        <v>34550</v>
      </c>
      <c r="AN375" t="s">
        <v>25</v>
      </c>
    </row>
    <row r="376" spans="17:40">
      <c r="Q376" s="99" t="s">
        <v>5308</v>
      </c>
      <c r="R376" s="95">
        <v>-2134406</v>
      </c>
      <c r="T376" t="s">
        <v>25</v>
      </c>
      <c r="AN376" t="s">
        <v>25</v>
      </c>
    </row>
    <row r="377" spans="17:40">
      <c r="Q377" s="99" t="s">
        <v>5375</v>
      </c>
      <c r="R377" s="95">
        <v>-618906</v>
      </c>
      <c r="T377" t="s">
        <v>25</v>
      </c>
    </row>
    <row r="378" spans="17:40">
      <c r="Q378" s="99" t="s">
        <v>5379</v>
      </c>
      <c r="R378" s="95">
        <v>-54615</v>
      </c>
      <c r="W378" s="96" t="s">
        <v>25</v>
      </c>
    </row>
    <row r="379" spans="17:40">
      <c r="Q379" s="99"/>
      <c r="R379" s="95"/>
      <c r="T379" t="s">
        <v>25</v>
      </c>
    </row>
    <row r="380" spans="17:40">
      <c r="Q380" s="99"/>
      <c r="R380" s="95">
        <f>SUM(R302:R379)</f>
        <v>399226986</v>
      </c>
      <c r="T380" t="s">
        <v>25</v>
      </c>
    </row>
    <row r="381" spans="17:40">
      <c r="Q381" s="99"/>
      <c r="R381" s="99" t="s">
        <v>6</v>
      </c>
      <c r="T381" t="s">
        <v>25</v>
      </c>
    </row>
    <row r="382" spans="17:40">
      <c r="T382" t="s">
        <v>25</v>
      </c>
      <c r="U382" s="96" t="s">
        <v>25</v>
      </c>
    </row>
    <row r="383" spans="17:40">
      <c r="T383" t="s">
        <v>25</v>
      </c>
    </row>
    <row r="384" spans="17:40">
      <c r="S384" t="s">
        <v>25</v>
      </c>
      <c r="T384" t="s">
        <v>25</v>
      </c>
    </row>
    <row r="385" spans="18:21">
      <c r="T385" t="s">
        <v>25</v>
      </c>
    </row>
    <row r="386" spans="18:21">
      <c r="T386" t="s">
        <v>25</v>
      </c>
    </row>
    <row r="387" spans="18:21">
      <c r="R387" t="s">
        <v>25</v>
      </c>
    </row>
    <row r="388" spans="18:21">
      <c r="T388" t="s">
        <v>25</v>
      </c>
    </row>
    <row r="389" spans="18:21">
      <c r="R389" t="s">
        <v>25</v>
      </c>
      <c r="T389" t="s">
        <v>25</v>
      </c>
    </row>
    <row r="391" spans="18:21">
      <c r="U39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0 S68:S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2019-11-25T09:03:03Z</dcterms:modified>
</cp:coreProperties>
</file>