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V46" i="18" l="1"/>
  <c r="W46" i="18" s="1"/>
  <c r="S46" i="18"/>
  <c r="D290" i="20"/>
  <c r="X46" i="18" l="1"/>
  <c r="D289" i="20"/>
  <c r="N49" i="18" l="1"/>
  <c r="P27" i="18" l="1"/>
  <c r="N27" i="18" s="1"/>
  <c r="P23" i="18"/>
  <c r="N23" i="18" s="1"/>
  <c r="AL169" i="18"/>
  <c r="AL168" i="18" s="1"/>
  <c r="AL167" i="18" s="1"/>
  <c r="AL166" i="18" s="1"/>
  <c r="AL165" i="18" s="1"/>
  <c r="B299" i="20"/>
  <c r="D288" i="20"/>
  <c r="AM167" i="18" l="1"/>
  <c r="AM169" i="18"/>
  <c r="AM168" i="18"/>
  <c r="AM166" i="18"/>
  <c r="K20" i="52"/>
  <c r="D287" i="20" l="1"/>
  <c r="D286" i="20"/>
  <c r="F15" i="52"/>
  <c r="AB3" i="49" l="1"/>
  <c r="AB4" i="49"/>
  <c r="AB5" i="49"/>
  <c r="D285" i="20" l="1"/>
  <c r="W116" i="18"/>
  <c r="J291" i="20" l="1"/>
  <c r="K291" i="20"/>
  <c r="J292" i="20"/>
  <c r="K292" i="20"/>
  <c r="J293" i="20"/>
  <c r="K293" i="20"/>
  <c r="J294" i="20"/>
  <c r="K294" i="20"/>
  <c r="J295" i="20"/>
  <c r="K295" i="20"/>
  <c r="J296" i="20"/>
  <c r="K296" i="20"/>
  <c r="J297" i="20"/>
  <c r="K297" i="20"/>
  <c r="I291" i="20"/>
  <c r="I292" i="20"/>
  <c r="I293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J290" i="20" l="1"/>
  <c r="J289" i="20"/>
  <c r="K290" i="20"/>
  <c r="I290" i="20"/>
  <c r="I289" i="20"/>
  <c r="K289" i="20"/>
  <c r="J288" i="20"/>
  <c r="K288" i="20"/>
  <c r="I288" i="20"/>
  <c r="J287" i="20"/>
  <c r="I287" i="20"/>
  <c r="K287" i="20"/>
  <c r="J286" i="20"/>
  <c r="K286" i="20"/>
  <c r="I286" i="20"/>
  <c r="K285" i="20"/>
  <c r="I285" i="20"/>
  <c r="J285" i="20"/>
  <c r="K284" i="20"/>
  <c r="J284" i="20"/>
  <c r="K283" i="20"/>
  <c r="I284" i="20"/>
  <c r="J283" i="20"/>
  <c r="M75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7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87" i="18"/>
  <c r="M12" i="52" l="1"/>
  <c r="D281" i="20" l="1"/>
  <c r="D280" i="20" l="1"/>
  <c r="K21" i="52" l="1"/>
  <c r="B38" i="52"/>
  <c r="D279" i="20"/>
  <c r="U118" i="18" l="1"/>
  <c r="W115" i="18"/>
  <c r="D278" i="20"/>
  <c r="W94" i="18" l="1"/>
  <c r="W93" i="18"/>
  <c r="W92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AJ124" i="18"/>
  <c r="F260" i="15" l="1"/>
  <c r="S87" i="18"/>
  <c r="AR14" i="18"/>
  <c r="AJ171" i="18"/>
  <c r="S86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6" i="18"/>
  <c r="D272" i="20" l="1"/>
  <c r="D271" i="20" l="1"/>
  <c r="AL123" i="18"/>
  <c r="AL122" i="18" s="1"/>
  <c r="AL121" i="18" l="1"/>
  <c r="AM122" i="18"/>
  <c r="AM123" i="18"/>
  <c r="D270" i="20"/>
  <c r="N48" i="18"/>
  <c r="AL120" i="18" l="1"/>
  <c r="AM121" i="18"/>
  <c r="H270" i="20"/>
  <c r="H271" i="20"/>
  <c r="H272" i="20"/>
  <c r="D269" i="20"/>
  <c r="H269" i="20"/>
  <c r="AL119" i="18" l="1"/>
  <c r="AM120" i="18"/>
  <c r="S57" i="18"/>
  <c r="AL118" i="18" l="1"/>
  <c r="AM119" i="18"/>
  <c r="D57" i="54"/>
  <c r="AL117" i="18" l="1"/>
  <c r="AM118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I24" i="54" s="1"/>
  <c r="D25" i="54"/>
  <c r="I25" i="54" s="1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H24" i="54"/>
  <c r="G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16" i="18" l="1"/>
  <c r="AM117" i="18"/>
  <c r="H33" i="54"/>
  <c r="G2" i="54"/>
  <c r="G33" i="54" s="1"/>
  <c r="D2" i="54"/>
  <c r="R18" i="52"/>
  <c r="K28" i="52"/>
  <c r="K19" i="52"/>
  <c r="K18" i="52"/>
  <c r="AL115" i="18" l="1"/>
  <c r="AM116" i="18"/>
  <c r="H38" i="54"/>
  <c r="I2" i="54"/>
  <c r="I33" i="54" s="1"/>
  <c r="I38" i="54" s="1"/>
  <c r="D32" i="54"/>
  <c r="N102" i="18"/>
  <c r="N103" i="18"/>
  <c r="N104" i="18"/>
  <c r="N105" i="18"/>
  <c r="N106" i="18"/>
  <c r="N107" i="18"/>
  <c r="N108" i="18"/>
  <c r="N109" i="18"/>
  <c r="N101" i="18"/>
  <c r="AL114" i="18" l="1"/>
  <c r="AM115" i="18"/>
  <c r="C299" i="20"/>
  <c r="M13" i="52"/>
  <c r="M6" i="52"/>
  <c r="L12" i="52" s="1"/>
  <c r="N4" i="52"/>
  <c r="N3" i="52"/>
  <c r="N2" i="52"/>
  <c r="AL113" i="18" l="1"/>
  <c r="AM114" i="18"/>
  <c r="N6" i="52"/>
  <c r="M8" i="52" s="1"/>
  <c r="AM113" i="18" l="1"/>
  <c r="AL112" i="18"/>
  <c r="D266" i="20"/>
  <c r="H266" i="20"/>
  <c r="G30" i="51"/>
  <c r="H30" i="51"/>
  <c r="D30" i="51"/>
  <c r="I30" i="51" s="1"/>
  <c r="AM112" i="18" l="1"/>
  <c r="AL111" i="18"/>
  <c r="D265" i="20"/>
  <c r="H265" i="20"/>
  <c r="G29" i="51"/>
  <c r="H29" i="51"/>
  <c r="D29" i="51"/>
  <c r="I29" i="51" s="1"/>
  <c r="AL110" i="18" l="1"/>
  <c r="AM111" i="18"/>
  <c r="W114" i="18"/>
  <c r="N35" i="18"/>
  <c r="G28" i="51"/>
  <c r="H28" i="51"/>
  <c r="D28" i="51"/>
  <c r="I28" i="51" s="1"/>
  <c r="D264" i="20"/>
  <c r="H264" i="20"/>
  <c r="AL109" i="18" l="1"/>
  <c r="AM110" i="18"/>
  <c r="G27" i="51"/>
  <c r="H27" i="51"/>
  <c r="D27" i="51"/>
  <c r="I27" i="51" s="1"/>
  <c r="G26" i="51"/>
  <c r="H26" i="51"/>
  <c r="D26" i="51"/>
  <c r="I26" i="51" s="1"/>
  <c r="AL108" i="18" l="1"/>
  <c r="AM109" i="18"/>
  <c r="W113" i="18"/>
  <c r="AL107" i="18" l="1"/>
  <c r="AM108" i="18"/>
  <c r="AM107" i="18" l="1"/>
  <c r="AL106" i="18"/>
  <c r="L33" i="18"/>
  <c r="AL105" i="18" l="1"/>
  <c r="AM106" i="18"/>
  <c r="W107" i="18"/>
  <c r="W108" i="18"/>
  <c r="W109" i="18"/>
  <c r="W110" i="18"/>
  <c r="W111" i="18"/>
  <c r="W112" i="18"/>
  <c r="W117" i="18"/>
  <c r="W106" i="18"/>
  <c r="AM105" i="18" l="1"/>
  <c r="AL104" i="18"/>
  <c r="N50" i="18"/>
  <c r="AL103" i="18" l="1"/>
  <c r="AM104" i="18"/>
  <c r="R142" i="18"/>
  <c r="R151" i="18"/>
  <c r="R129" i="18"/>
  <c r="AL102" i="18" l="1"/>
  <c r="AM103" i="18"/>
  <c r="T134" i="18"/>
  <c r="T90" i="18"/>
  <c r="S40" i="18"/>
  <c r="S41" i="18" s="1"/>
  <c r="S42" i="18" s="1"/>
  <c r="R111" i="18"/>
  <c r="R110" i="18"/>
  <c r="R109" i="18"/>
  <c r="D57" i="51"/>
  <c r="AL101" i="18" l="1"/>
  <c r="AM102" i="18"/>
  <c r="S43" i="18"/>
  <c r="S44" i="18" s="1"/>
  <c r="S45" i="18" s="1"/>
  <c r="AL100" i="18" l="1"/>
  <c r="AM100" i="18" s="1"/>
  <c r="AM101" i="18"/>
  <c r="P28" i="18"/>
  <c r="N28" i="18" s="1"/>
  <c r="R108" i="18" s="1"/>
  <c r="Q48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5" i="18" l="1"/>
  <c r="D108" i="50" l="1"/>
  <c r="P24" i="18" l="1"/>
  <c r="N44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96" i="18" l="1"/>
  <c r="AL95" i="18" s="1"/>
  <c r="S22" i="18"/>
  <c r="S23" i="18" s="1"/>
  <c r="S24" i="18" s="1"/>
  <c r="S25" i="18" s="1"/>
  <c r="P22" i="18"/>
  <c r="N22" i="18" s="1"/>
  <c r="N43" i="18"/>
  <c r="Q82" i="18" s="1"/>
  <c r="AM96" i="18" l="1"/>
  <c r="AL164" i="18"/>
  <c r="AM165" i="18"/>
  <c r="AL94" i="18"/>
  <c r="AM95" i="18"/>
  <c r="AL163" i="18" l="1"/>
  <c r="AM164" i="18"/>
  <c r="AL93" i="18"/>
  <c r="AM94" i="18"/>
  <c r="AL162" i="18" l="1"/>
  <c r="AM163" i="18"/>
  <c r="AL92" i="18"/>
  <c r="AM93" i="18"/>
  <c r="S26" i="18"/>
  <c r="S27" i="18" s="1"/>
  <c r="S28" i="18" s="1"/>
  <c r="S29" i="18" s="1"/>
  <c r="N75" i="18"/>
  <c r="AL161" i="18" l="1"/>
  <c r="AM162" i="18"/>
  <c r="S30" i="18"/>
  <c r="S31" i="18" s="1"/>
  <c r="S32" i="18" s="1"/>
  <c r="S33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1" i="18" l="1"/>
  <c r="AL160" i="18"/>
  <c r="AL90" i="18"/>
  <c r="AM91" i="18"/>
  <c r="D73" i="48"/>
  <c r="N24" i="18"/>
  <c r="AL159" i="18" l="1"/>
  <c r="AM160" i="18"/>
  <c r="AM90" i="18"/>
  <c r="AL89" i="18"/>
  <c r="AL158" i="18" l="1"/>
  <c r="AM159" i="18"/>
  <c r="AL88" i="18"/>
  <c r="AM89" i="18"/>
  <c r="P55" i="18"/>
  <c r="AL157" i="18" l="1"/>
  <c r="AM158" i="18"/>
  <c r="AL87" i="18"/>
  <c r="AM88" i="18"/>
  <c r="AL156" i="18" l="1"/>
  <c r="AM157" i="18"/>
  <c r="AM87" i="18"/>
  <c r="AL86" i="18"/>
  <c r="N23" i="33"/>
  <c r="D23" i="33" s="1"/>
  <c r="AL155" i="18" l="1"/>
  <c r="AM156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4" i="18" l="1"/>
  <c r="AM155" i="18"/>
  <c r="AL84" i="18"/>
  <c r="AM85" i="18"/>
  <c r="P21" i="18"/>
  <c r="N21" i="18" s="1"/>
  <c r="R107" i="18" l="1"/>
  <c r="Q35" i="18"/>
  <c r="AJ175" i="18"/>
  <c r="AJ176" i="18" s="1"/>
  <c r="AL153" i="18"/>
  <c r="AM154" i="18"/>
  <c r="AM84" i="18"/>
  <c r="AL83" i="18"/>
  <c r="AL152" i="18" l="1"/>
  <c r="AM153" i="18"/>
  <c r="AM83" i="18"/>
  <c r="AL82" i="18"/>
  <c r="S58" i="18"/>
  <c r="S59" i="18" s="1"/>
  <c r="AM152" i="18" l="1"/>
  <c r="AL151" i="18"/>
  <c r="AL81" i="18"/>
  <c r="AM82" i="18"/>
  <c r="AL150" i="18" l="1"/>
  <c r="AM151" i="18"/>
  <c r="AL80" i="18"/>
  <c r="AM80" i="18" s="1"/>
  <c r="AM81" i="18"/>
  <c r="AM150" i="18" l="1"/>
  <c r="AL149" i="18"/>
  <c r="AM149" i="18" l="1"/>
  <c r="AL148" i="18"/>
  <c r="B8" i="36"/>
  <c r="AL147" i="18" l="1"/>
  <c r="AM148" i="18"/>
  <c r="B10" i="36"/>
  <c r="AL146" i="18" l="1"/>
  <c r="AM147" i="18"/>
  <c r="S60" i="18"/>
  <c r="S61" i="18" l="1"/>
  <c r="S62" i="18" s="1"/>
  <c r="S63" i="18" s="1"/>
  <c r="S64" i="18" s="1"/>
  <c r="S65" i="18" s="1"/>
  <c r="S66" i="18" s="1"/>
  <c r="AL145" i="18"/>
  <c r="AM146" i="18"/>
  <c r="N25" i="33"/>
  <c r="N24" i="33"/>
  <c r="N21" i="33"/>
  <c r="N20" i="33"/>
  <c r="N19" i="33"/>
  <c r="N18" i="33"/>
  <c r="L18" i="33" s="1"/>
  <c r="N17" i="33"/>
  <c r="N9" i="33"/>
  <c r="N3" i="33"/>
  <c r="N4" i="33"/>
  <c r="AM145" i="18" l="1"/>
  <c r="AL144" i="18"/>
  <c r="S67" i="18"/>
  <c r="S68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4" i="18" l="1"/>
  <c r="AL143" i="18"/>
  <c r="AC15" i="33"/>
  <c r="AM143" i="18" l="1"/>
  <c r="AL142" i="18"/>
  <c r="N16" i="33"/>
  <c r="S69" i="18" l="1"/>
  <c r="S70" i="18" s="1"/>
  <c r="AM142" i="18"/>
  <c r="AL141" i="18"/>
  <c r="AM141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71" i="18" l="1"/>
  <c r="AN171" i="18" s="1"/>
  <c r="AJ174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71" i="18" l="1"/>
  <c r="S72" i="18" s="1"/>
  <c r="S73" i="18" s="1"/>
  <c r="AJ177" i="18"/>
  <c r="AJ178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AL79" i="18"/>
  <c r="G25" i="46"/>
  <c r="H25" i="46"/>
  <c r="D25" i="46"/>
  <c r="I25" i="46" s="1"/>
  <c r="J282" i="20" l="1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S74" i="18" l="1"/>
  <c r="S75" i="18" s="1"/>
  <c r="G280" i="20"/>
  <c r="I281" i="20"/>
  <c r="J281" i="20"/>
  <c r="K281" i="20"/>
  <c r="AL77" i="18"/>
  <c r="AM78" i="18"/>
  <c r="N55" i="18"/>
  <c r="S76" i="18" l="1"/>
  <c r="S77" i="18" s="1"/>
  <c r="S78" i="18" s="1"/>
  <c r="S79" i="18" s="1"/>
  <c r="S80" i="18" s="1"/>
  <c r="G279" i="20"/>
  <c r="I280" i="20"/>
  <c r="J280" i="20"/>
  <c r="K280" i="20"/>
  <c r="AL76" i="18"/>
  <c r="AM77" i="18"/>
  <c r="G278" i="20" l="1"/>
  <c r="J279" i="20"/>
  <c r="K279" i="20"/>
  <c r="I279" i="20"/>
  <c r="AL75" i="18"/>
  <c r="AM76" i="18"/>
  <c r="N42" i="18"/>
  <c r="R106" i="18" l="1"/>
  <c r="R115" i="18" s="1"/>
  <c r="T121" i="18" s="1"/>
  <c r="G277" i="20"/>
  <c r="K278" i="20"/>
  <c r="J278" i="20"/>
  <c r="I278" i="20"/>
  <c r="AJ130" i="18"/>
  <c r="AJ131" i="18" s="1"/>
  <c r="AL74" i="18"/>
  <c r="AM75" i="18"/>
  <c r="G276" i="20" l="1"/>
  <c r="I277" i="20"/>
  <c r="K277" i="20"/>
  <c r="J277" i="20"/>
  <c r="V124" i="18"/>
  <c r="S94" i="18"/>
  <c r="U134" i="18"/>
  <c r="AL73" i="18"/>
  <c r="AM74" i="18"/>
  <c r="N81" i="18"/>
  <c r="V33" i="18" s="1"/>
  <c r="W33" i="18" l="1"/>
  <c r="X33" i="18"/>
  <c r="V79" i="18"/>
  <c r="W79" i="18" s="1"/>
  <c r="V80" i="18"/>
  <c r="V76" i="18"/>
  <c r="W76" i="18" s="1"/>
  <c r="V78" i="18"/>
  <c r="V77" i="18"/>
  <c r="V45" i="18"/>
  <c r="W45" i="18" s="1"/>
  <c r="V32" i="18"/>
  <c r="V74" i="18"/>
  <c r="W74" i="18" s="1"/>
  <c r="V75" i="18"/>
  <c r="G275" i="20"/>
  <c r="I276" i="20"/>
  <c r="K276" i="20"/>
  <c r="J276" i="20"/>
  <c r="V72" i="18"/>
  <c r="V73" i="18"/>
  <c r="V70" i="18"/>
  <c r="V71" i="18"/>
  <c r="V69" i="18"/>
  <c r="V31" i="18"/>
  <c r="V30" i="18"/>
  <c r="W30" i="18" s="1"/>
  <c r="V44" i="18"/>
  <c r="V29" i="18"/>
  <c r="X29" i="18" s="1"/>
  <c r="V43" i="18"/>
  <c r="V47" i="18"/>
  <c r="V42" i="18"/>
  <c r="V134" i="18"/>
  <c r="V68" i="18"/>
  <c r="V41" i="18"/>
  <c r="V67" i="18"/>
  <c r="V28" i="18"/>
  <c r="V66" i="18"/>
  <c r="V27" i="18"/>
  <c r="V25" i="18"/>
  <c r="V26" i="18"/>
  <c r="W26" i="18" s="1"/>
  <c r="V65" i="18"/>
  <c r="V64" i="18"/>
  <c r="V63" i="18"/>
  <c r="V24" i="18"/>
  <c r="V62" i="18"/>
  <c r="V61" i="18"/>
  <c r="V59" i="18"/>
  <c r="V60" i="18"/>
  <c r="V21" i="18"/>
  <c r="V23" i="18"/>
  <c r="V56" i="18"/>
  <c r="V20" i="18"/>
  <c r="V22" i="18"/>
  <c r="V57" i="18"/>
  <c r="V58" i="18"/>
  <c r="AL72" i="18"/>
  <c r="AM73" i="18"/>
  <c r="X79" i="18" l="1"/>
  <c r="W80" i="18"/>
  <c r="X80" i="18"/>
  <c r="X76" i="18"/>
  <c r="W77" i="18"/>
  <c r="X77" i="18"/>
  <c r="W78" i="18"/>
  <c r="X78" i="18"/>
  <c r="X45" i="18"/>
  <c r="X32" i="18"/>
  <c r="W32" i="18"/>
  <c r="X74" i="18"/>
  <c r="W75" i="18"/>
  <c r="X75" i="18"/>
  <c r="G274" i="20"/>
  <c r="K275" i="20"/>
  <c r="J275" i="20"/>
  <c r="I275" i="20"/>
  <c r="W73" i="18"/>
  <c r="X73" i="18"/>
  <c r="W72" i="18"/>
  <c r="X72" i="18"/>
  <c r="X71" i="18"/>
  <c r="W71" i="18"/>
  <c r="W70" i="18"/>
  <c r="X70" i="18"/>
  <c r="W69" i="18"/>
  <c r="X69" i="18"/>
  <c r="W31" i="18"/>
  <c r="X31" i="18"/>
  <c r="X30" i="18"/>
  <c r="W44" i="18"/>
  <c r="X44" i="18"/>
  <c r="W29" i="18"/>
  <c r="W43" i="18"/>
  <c r="X43" i="18"/>
  <c r="W42" i="18"/>
  <c r="X42" i="18"/>
  <c r="W47" i="18"/>
  <c r="X47" i="18"/>
  <c r="S93" i="18"/>
  <c r="N58" i="18"/>
  <c r="S92" i="18"/>
  <c r="U92" i="18" s="1"/>
  <c r="W68" i="18"/>
  <c r="X68" i="18"/>
  <c r="X41" i="18"/>
  <c r="W41" i="18"/>
  <c r="W22" i="18"/>
  <c r="X22" i="18"/>
  <c r="W21" i="18"/>
  <c r="X21" i="18"/>
  <c r="W61" i="18"/>
  <c r="X61" i="18"/>
  <c r="W63" i="18"/>
  <c r="X63" i="18"/>
  <c r="W66" i="18"/>
  <c r="X66" i="18"/>
  <c r="W58" i="18"/>
  <c r="X58" i="18"/>
  <c r="W64" i="18"/>
  <c r="X64" i="18"/>
  <c r="X26" i="18"/>
  <c r="W28" i="18"/>
  <c r="X28" i="18"/>
  <c r="W20" i="18"/>
  <c r="X20" i="18"/>
  <c r="W60" i="18"/>
  <c r="X60" i="18"/>
  <c r="W25" i="18"/>
  <c r="X25" i="18"/>
  <c r="X67" i="18"/>
  <c r="W67" i="18"/>
  <c r="W57" i="18"/>
  <c r="X57" i="18"/>
  <c r="W56" i="18"/>
  <c r="X56" i="18"/>
  <c r="W62" i="18"/>
  <c r="X62" i="18"/>
  <c r="W23" i="18"/>
  <c r="X23" i="18"/>
  <c r="W59" i="18"/>
  <c r="X59" i="18"/>
  <c r="X24" i="18"/>
  <c r="W24" i="18"/>
  <c r="W65" i="18"/>
  <c r="X65" i="18"/>
  <c r="W27" i="18"/>
  <c r="X27" i="18"/>
  <c r="AL71" i="18"/>
  <c r="AM72" i="18"/>
  <c r="G273" i="20" l="1"/>
  <c r="J274" i="20"/>
  <c r="I274" i="20"/>
  <c r="K274" i="20"/>
  <c r="N31" i="18"/>
  <c r="L21" i="18" s="1"/>
  <c r="U93" i="18"/>
  <c r="V93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4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4" i="18"/>
  <c r="AJ129" i="18" s="1"/>
  <c r="AJ133" i="18" s="1"/>
  <c r="E172" i="13"/>
  <c r="G173" i="13"/>
  <c r="D62" i="38"/>
  <c r="G220" i="20" l="1"/>
  <c r="I221" i="20"/>
  <c r="K221" i="20"/>
  <c r="J221" i="20"/>
  <c r="F244" i="15"/>
  <c r="D243" i="15"/>
  <c r="AJ132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1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s="1"/>
  <c r="F24" i="18" s="1"/>
  <c r="L62" i="18" l="1"/>
  <c r="E33" i="13"/>
  <c r="G34" i="13"/>
  <c r="I97" i="20"/>
  <c r="K97" i="20"/>
  <c r="J97" i="20"/>
  <c r="F108" i="15"/>
  <c r="C20" i="18"/>
  <c r="G20" i="14"/>
  <c r="G21" i="14"/>
  <c r="L63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V92" i="18" l="1"/>
  <c r="U94" i="18"/>
  <c r="V94" i="18" s="1"/>
</calcChain>
</file>

<file path=xl/sharedStrings.xml><?xml version="1.0" encoding="utf-8"?>
<sst xmlns="http://schemas.openxmlformats.org/spreadsheetml/2006/main" count="10120" uniqueCount="4664">
  <si>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</si>
  <si>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</si>
  <si>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</si>
  <si>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</si>
  <si>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</si>
  <si>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</si>
  <si>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</si>
  <si>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</si>
  <si>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</si>
  <si>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</si>
  <si>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</si>
  <si>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</si>
  <si>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</si>
  <si>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</si>
  <si>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</si>
  <si>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</si>
  <si>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</si>
  <si>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</si>
  <si>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</si>
  <si>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</si>
  <si>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</si>
  <si>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</si>
  <si>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</si>
  <si>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</si>
  <si>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</si>
  <si>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</si>
  <si>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</si>
  <si>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</si>
  <si>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</si>
  <si>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</si>
  <si>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</si>
  <si>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</si>
  <si>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</si>
  <si>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</si>
  <si>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</si>
  <si>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</si>
  <si>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</si>
  <si>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</si>
  <si>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</si>
  <si>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</si>
  <si>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</si>
  <si>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</si>
  <si>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</si>
  <si>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</si>
  <si>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</si>
  <si>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</si>
  <si>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</si>
  <si>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</si>
  <si>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</si>
  <si>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</si>
  <si>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</si>
  <si>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</si>
  <si>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</si>
  <si>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</si>
  <si>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</si>
  <si>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</si>
  <si>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</si>
  <si>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</si>
  <si>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</si>
  <si>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</si>
  <si>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</si>
  <si>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</si>
  <si>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</si>
  <si>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</si>
  <si>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</si>
  <si>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</si>
  <si>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</si>
  <si>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</si>
  <si>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</si>
  <si>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</si>
  <si>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</si>
  <si>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</si>
  <si>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</si>
  <si>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</si>
  <si>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</si>
  <si>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</si>
  <si>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</si>
  <si>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</si>
  <si>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</si>
  <si>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</si>
  <si>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</si>
  <si>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</si>
  <si>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</si>
  <si>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</si>
  <si>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</si>
  <si>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</si>
  <si>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</si>
  <si>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</si>
  <si>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</si>
  <si>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</si>
  <si>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</si>
  <si>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</si>
  <si>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</si>
  <si>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</si>
  <si>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</si>
  <si>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</si>
  <si>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</si>
  <si>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</si>
  <si>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</si>
  <si>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</si>
  <si>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</si>
  <si>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</si>
  <si>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</si>
  <si>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</si>
  <si>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</si>
  <si>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</si>
  <si>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</si>
  <si>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</si>
  <si>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</si>
  <si>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</si>
  <si>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</si>
  <si>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</si>
  <si>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</si>
  <si>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</si>
  <si>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</si>
  <si>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</si>
  <si>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</si>
  <si>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</si>
  <si>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</si>
  <si>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</si>
  <si>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</si>
  <si>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</si>
  <si>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</si>
  <si>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</si>
  <si>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</si>
  <si>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</si>
  <si>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</si>
  <si>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</si>
  <si>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</si>
  <si>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</si>
  <si>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</si>
  <si>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</si>
  <si>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</si>
  <si>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</si>
  <si>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</si>
  <si>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</si>
  <si>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</si>
  <si>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</si>
  <si>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</si>
  <si>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</si>
  <si>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</si>
  <si>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</si>
  <si>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</si>
  <si>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</si>
  <si>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</si>
  <si>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</si>
  <si>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</si>
  <si>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</si>
  <si>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</si>
  <si>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</si>
  <si>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</si>
  <si>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</si>
  <si>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</si>
  <si>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</si>
  <si>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</si>
  <si>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</si>
  <si>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</si>
  <si>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</si>
  <si>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</si>
  <si>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</si>
  <si>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</si>
  <si>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</si>
  <si>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</si>
  <si>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</si>
  <si>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</si>
  <si>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</si>
  <si>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</si>
  <si>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</si>
  <si>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</si>
  <si>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</si>
  <si>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</si>
  <si>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</si>
  <si>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</si>
  <si>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</si>
  <si>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</si>
  <si>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</si>
  <si>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</si>
  <si>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</si>
  <si>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</si>
  <si>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</si>
  <si>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</si>
  <si>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</si>
  <si>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</si>
  <si>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</si>
  <si>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</si>
  <si>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</si>
  <si>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</si>
  <si>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</si>
  <si>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</si>
  <si>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</si>
  <si>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</si>
  <si>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</si>
  <si>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</si>
  <si>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</si>
  <si>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</si>
  <si>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</si>
  <si>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</si>
  <si>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</si>
  <si>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</si>
  <si>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</si>
  <si>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</si>
  <si>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</si>
  <si>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</si>
  <si>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</si>
  <si>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</si>
  <si>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</si>
  <si>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</si>
  <si>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</si>
  <si>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</si>
  <si>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</si>
  <si>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</si>
  <si>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</si>
  <si>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</si>
  <si>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</si>
  <si>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</si>
  <si>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</si>
  <si>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</si>
  <si>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</si>
  <si>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</si>
  <si>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</si>
  <si>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</si>
  <si>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</si>
  <si>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</si>
  <si>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</si>
  <si>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</si>
  <si>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</si>
  <si>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</si>
  <si>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</si>
  <si>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</si>
  <si>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</si>
  <si>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</si>
  <si>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</si>
  <si>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</si>
  <si>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</si>
  <si>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</si>
  <si>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</si>
  <si>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</si>
  <si>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</si>
  <si>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</si>
  <si>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</si>
  <si>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</si>
  <si>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</si>
  <si>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</si>
  <si>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</si>
  <si>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</si>
  <si>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</si>
  <si>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</si>
  <si>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</si>
  <si>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</si>
  <si>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</si>
  <si>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</si>
  <si>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</si>
  <si>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</si>
  <si>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</si>
  <si>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</si>
  <si>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</si>
  <si>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</si>
  <si>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</si>
  <si>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</si>
  <si>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</si>
  <si>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</si>
  <si>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</si>
  <si>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</si>
  <si>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</si>
  <si>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</si>
  <si>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</si>
  <si>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</si>
  <si>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</si>
  <si>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</si>
  <si>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</si>
  <si>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</si>
  <si>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</si>
  <si>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</si>
  <si>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</si>
  <si>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</si>
  <si>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</si>
  <si>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</si>
  <si>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</si>
  <si>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</si>
  <si>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</si>
  <si>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</si>
  <si>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</si>
  <si>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</si>
  <si>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</si>
  <si>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</si>
  <si>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</si>
  <si>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</si>
  <si>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</si>
  <si>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</si>
  <si>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</si>
  <si>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</si>
  <si>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</si>
  <si>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</si>
  <si>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</si>
  <si>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</si>
  <si>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</si>
  <si>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</si>
  <si>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</si>
  <si>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</si>
  <si>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</si>
  <si>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</si>
  <si>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</si>
  <si>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</si>
  <si>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</si>
  <si>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</si>
  <si>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</si>
  <si>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</si>
  <si>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</si>
  <si>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</si>
  <si>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</si>
  <si>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</si>
  <si>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</si>
  <si>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</si>
  <si>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</si>
  <si>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</si>
  <si>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</si>
  <si>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</si>
  <si>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</si>
  <si>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</si>
  <si>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</si>
  <si>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</si>
  <si>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</si>
  <si>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</si>
  <si>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</si>
  <si>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</si>
  <si>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</si>
  <si>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</si>
  <si>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</si>
  <si>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</si>
  <si>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</si>
  <si>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</si>
  <si>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</si>
  <si>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</si>
  <si>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</si>
  <si>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</si>
  <si>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</si>
  <si>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</si>
  <si>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</si>
  <si>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</si>
  <si>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</si>
  <si>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</si>
  <si>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</si>
  <si>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</si>
  <si>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</si>
  <si>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</si>
  <si>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</si>
  <si>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</si>
  <si>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</si>
  <si>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</si>
  <si>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</si>
  <si>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</si>
  <si>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</si>
  <si>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</si>
  <si>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</si>
  <si>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</si>
  <si>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</si>
  <si>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</si>
  <si>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</si>
  <si>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</si>
  <si>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</si>
  <si>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</si>
  <si>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</si>
  <si>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</si>
  <si>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</si>
  <si>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</si>
  <si>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</si>
  <si>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</si>
  <si>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</si>
  <si>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</si>
  <si>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</si>
  <si>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</si>
  <si>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</si>
  <si>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</si>
  <si>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</si>
  <si>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</si>
  <si>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</si>
  <si>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</si>
  <si>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</si>
  <si>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</si>
  <si>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</si>
  <si>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</si>
  <si>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</si>
  <si>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</si>
  <si>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</si>
  <si>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</si>
  <si>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</si>
  <si>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</si>
  <si>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</si>
  <si>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</si>
  <si>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</si>
  <si>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</si>
  <si>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</si>
  <si>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</si>
  <si>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</si>
  <si>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</si>
  <si>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</si>
  <si>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</si>
  <si>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</si>
  <si>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</si>
  <si>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</si>
  <si>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</si>
  <si>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</si>
  <si>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</si>
  <si>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</si>
  <si>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</si>
  <si>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</si>
  <si>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</si>
  <si>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</si>
  <si>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</si>
  <si>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</si>
  <si>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</si>
  <si>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</si>
  <si>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</si>
  <si>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</si>
  <si>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</si>
  <si>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</si>
  <si>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</si>
  <si>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</si>
  <si>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</si>
  <si>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</si>
  <si>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</si>
  <si>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</si>
  <si>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</si>
  <si>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</si>
  <si>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</si>
  <si>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</si>
  <si>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</si>
  <si>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</si>
  <si>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</si>
  <si>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</si>
  <si>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</si>
  <si>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</si>
  <si>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</si>
  <si>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</si>
  <si>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</si>
  <si>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</si>
  <si>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</si>
  <si>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</si>
  <si>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</si>
  <si>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</si>
  <si>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</si>
  <si>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</si>
  <si>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</si>
  <si>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</si>
  <si>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</si>
  <si>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</si>
  <si>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</si>
  <si>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</si>
  <si>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</si>
  <si>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</si>
  <si>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</si>
  <si>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</si>
  <si>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</si>
  <si>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</si>
  <si>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</si>
  <si>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</si>
  <si>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</si>
  <si>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</si>
  <si>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</si>
  <si>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</si>
  <si>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</si>
  <si>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</si>
  <si>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</si>
  <si>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</si>
  <si>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</si>
  <si>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</si>
  <si>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</si>
  <si>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</si>
  <si>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</si>
  <si>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</si>
  <si>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</si>
  <si>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</si>
  <si>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</si>
  <si>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</si>
  <si>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</si>
  <si>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</si>
  <si>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</si>
  <si>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</si>
  <si>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</si>
  <si>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</si>
  <si>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</si>
  <si>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</si>
  <si>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</si>
  <si>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</si>
  <si>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</si>
  <si>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</si>
  <si>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</si>
  <si>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</si>
  <si>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</si>
  <si>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</si>
  <si>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</si>
  <si>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</si>
  <si>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</si>
  <si>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</si>
  <si>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</si>
  <si>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</si>
  <si>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</si>
  <si>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</si>
  <si>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</si>
  <si>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</si>
  <si>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</si>
  <si>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</si>
  <si>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</si>
  <si>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</si>
  <si>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</si>
  <si>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</si>
  <si>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</si>
  <si>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</si>
  <si>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</si>
  <si>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</si>
  <si>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</si>
  <si>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</si>
  <si>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</si>
  <si>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</si>
  <si>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</si>
  <si>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</si>
  <si>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</si>
  <si>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</si>
  <si>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</si>
  <si>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</si>
  <si>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</si>
  <si>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</si>
  <si>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</si>
  <si>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</si>
  <si>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</si>
  <si>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</si>
  <si>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</si>
  <si>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</si>
  <si>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</si>
  <si>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</si>
  <si>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</si>
  <si>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</si>
  <si>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</si>
  <si>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</si>
  <si>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</si>
  <si>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</si>
  <si>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</si>
  <si>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</si>
  <si>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</si>
  <si>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</si>
  <si>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</si>
  <si>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</si>
  <si>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</si>
  <si>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</si>
  <si>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</si>
  <si>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</si>
  <si>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</si>
  <si>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</si>
  <si>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</si>
  <si>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</si>
  <si>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</si>
  <si>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</si>
  <si>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</si>
  <si>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</si>
  <si>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</si>
  <si>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</si>
  <si>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</si>
  <si>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</si>
  <si>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</si>
  <si>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</si>
  <si>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</si>
  <si>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</si>
  <si>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</si>
  <si>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</si>
  <si>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</si>
  <si>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</si>
  <si>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</si>
  <si>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</si>
  <si>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</si>
  <si>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</si>
  <si>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</si>
  <si>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</si>
  <si>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</si>
  <si>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</si>
  <si>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</si>
  <si>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</si>
  <si>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</si>
  <si>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</si>
  <si>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</si>
  <si>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</si>
  <si>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</si>
  <si>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</si>
  <si>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</si>
  <si>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</si>
  <si>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</si>
  <si>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</si>
  <si>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</si>
  <si>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</si>
  <si>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</si>
  <si>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</si>
  <si>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</si>
  <si>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</si>
  <si>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</si>
  <si>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</si>
  <si>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</si>
  <si>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</si>
  <si>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</si>
  <si>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</si>
  <si>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</si>
  <si>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</si>
  <si>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</si>
  <si>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</si>
  <si>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</si>
  <si>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</si>
  <si>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</si>
  <si>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</si>
  <si>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</si>
  <si>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</si>
  <si>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</si>
  <si>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</si>
  <si>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</si>
  <si>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</si>
  <si>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</si>
  <si>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</si>
  <si>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</si>
  <si>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</si>
  <si>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</si>
  <si>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</si>
  <si>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</si>
  <si>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</si>
  <si>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</si>
  <si>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</si>
  <si>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</si>
  <si>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</si>
  <si>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</si>
  <si>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</si>
  <si>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</si>
  <si>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</si>
  <si>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</si>
  <si>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</si>
  <si>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</si>
  <si>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</si>
  <si>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</si>
  <si>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</si>
  <si>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</si>
  <si>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</si>
  <si>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</si>
  <si>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</si>
  <si>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</si>
  <si>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</si>
  <si>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</si>
  <si>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</si>
  <si>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</si>
  <si>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</si>
  <si>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</si>
  <si>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</si>
  <si>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</si>
  <si>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</si>
  <si>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</si>
  <si>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</si>
  <si>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</si>
  <si>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</si>
  <si>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</si>
  <si>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</si>
  <si>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</si>
  <si>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</si>
  <si>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</si>
  <si>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</si>
  <si>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</si>
  <si>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</si>
  <si>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</si>
  <si>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</si>
  <si>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</si>
  <si>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</si>
  <si>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</si>
  <si>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</si>
  <si>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</si>
  <si>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</si>
  <si>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</si>
  <si>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</si>
  <si>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</si>
  <si>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</si>
  <si>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</si>
  <si>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</si>
  <si>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</si>
  <si>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</si>
  <si>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</si>
  <si>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</si>
  <si>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</si>
  <si>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</si>
  <si>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</si>
  <si>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</si>
  <si>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</si>
  <si>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</si>
  <si>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</si>
  <si>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</si>
  <si>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</si>
  <si>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</si>
  <si>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</si>
  <si>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</si>
  <si>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</si>
  <si>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</si>
  <si>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</si>
  <si>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</si>
  <si>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</si>
  <si>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</si>
  <si>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</si>
  <si>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</si>
  <si>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</si>
  <si>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</si>
  <si>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</si>
  <si>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</si>
  <si>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</si>
  <si>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</si>
  <si>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</si>
  <si>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</si>
  <si>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</si>
  <si>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</si>
  <si>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</si>
  <si>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</si>
  <si>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</si>
  <si>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</si>
  <si>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</si>
  <si>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</si>
  <si>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</si>
  <si>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</si>
  <si>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</si>
  <si>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</si>
  <si>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</si>
  <si>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</si>
  <si>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</si>
  <si>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</si>
  <si>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</si>
  <si>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</si>
  <si>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</si>
  <si>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</si>
  <si>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</si>
  <si>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</si>
  <si>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</si>
  <si>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</si>
  <si>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</si>
  <si>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</si>
  <si>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</si>
  <si>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</si>
  <si>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</si>
  <si>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</si>
  <si>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</si>
  <si>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</si>
  <si>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</si>
  <si>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</si>
  <si>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</si>
  <si>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</si>
  <si>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</si>
  <si>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</si>
  <si>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</si>
  <si>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</si>
  <si>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</si>
  <si>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</si>
  <si>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</si>
  <si>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</si>
  <si>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</si>
  <si>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</si>
  <si>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</si>
  <si>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</si>
  <si>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</si>
  <si>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</si>
  <si>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</si>
  <si>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</si>
  <si>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</si>
  <si>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</si>
  <si>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</si>
  <si>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</si>
  <si>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</si>
  <si>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</si>
  <si>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</si>
  <si>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</si>
  <si>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</si>
  <si>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</si>
  <si>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</si>
  <si>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</si>
  <si>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</si>
  <si>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</si>
  <si>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</si>
  <si>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</si>
  <si>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</si>
  <si>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</si>
  <si>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</si>
  <si>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</si>
  <si>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</si>
  <si>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</si>
  <si>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</si>
  <si>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</si>
  <si>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</si>
  <si>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</si>
  <si>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</si>
  <si>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</si>
  <si>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</si>
  <si>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</si>
  <si>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</si>
  <si>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</si>
  <si>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</si>
  <si>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</si>
  <si>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</si>
  <si>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</si>
  <si>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</si>
  <si>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</si>
  <si>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</si>
  <si>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</si>
  <si>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</si>
  <si>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</si>
  <si>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</si>
  <si>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</si>
  <si>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</si>
  <si>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</si>
  <si>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</si>
  <si>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</si>
  <si>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</si>
  <si>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</si>
  <si>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</si>
  <si>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</si>
  <si>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</si>
  <si>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</si>
  <si>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</si>
  <si>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</si>
  <si>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</si>
  <si>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</si>
  <si>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</si>
  <si>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</si>
  <si>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</si>
  <si>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</si>
  <si>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</si>
  <si>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</si>
  <si>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</si>
  <si>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</si>
  <si>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</si>
  <si>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</si>
  <si>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</si>
  <si>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</si>
  <si>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</si>
  <si>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</si>
  <si>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</si>
  <si>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</si>
  <si>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</si>
  <si>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</si>
  <si>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</si>
  <si>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</si>
  <si>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</si>
  <si>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</si>
  <si>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</si>
  <si>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</si>
  <si>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</si>
  <si>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</si>
  <si>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</si>
  <si>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</si>
  <si>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</si>
  <si>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</si>
  <si>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</si>
  <si>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</si>
  <si>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</si>
  <si>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</si>
  <si>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</si>
  <si>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</si>
  <si>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</si>
  <si>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</si>
  <si>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</si>
  <si>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</si>
  <si>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</si>
  <si>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</si>
  <si>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</si>
  <si>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</si>
  <si>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</si>
  <si>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</si>
  <si>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</si>
  <si>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</si>
  <si>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</si>
  <si>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</si>
  <si>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</si>
  <si>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</si>
  <si>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</si>
  <si>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</si>
  <si>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</si>
  <si>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</si>
  <si>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</si>
  <si>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</si>
  <si>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</si>
  <si>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</si>
  <si>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</si>
  <si>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</si>
  <si>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</si>
  <si>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</si>
  <si>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</si>
  <si>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</si>
  <si>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</si>
  <si>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</si>
  <si>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</si>
  <si>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</si>
  <si>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</si>
  <si>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</si>
  <si>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</si>
  <si>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</si>
  <si>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</si>
  <si>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</si>
  <si>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</si>
  <si>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</si>
  <si>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</si>
  <si>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</si>
  <si>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</si>
  <si>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</si>
  <si>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</si>
  <si>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</si>
  <si>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</si>
  <si>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</si>
  <si>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</si>
  <si>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</si>
  <si>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</si>
  <si>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</si>
  <si>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</si>
  <si>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</si>
  <si>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</si>
  <si>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</si>
  <si>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</si>
  <si>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</si>
  <si>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</si>
  <si>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</si>
  <si>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</si>
  <si>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</si>
  <si>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</si>
  <si>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</si>
  <si>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</si>
  <si>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</si>
  <si>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</si>
  <si>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</si>
  <si>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</si>
  <si>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</si>
  <si>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</si>
  <si>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</si>
  <si>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</si>
  <si>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</si>
  <si>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</si>
  <si>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</si>
  <si>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</si>
  <si>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</si>
  <si>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</si>
  <si>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</si>
  <si>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</si>
  <si>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</si>
  <si>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</si>
  <si>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</si>
  <si>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</si>
  <si>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</si>
  <si>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</si>
  <si>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</si>
  <si>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</si>
  <si>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</si>
  <si>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</si>
  <si>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</si>
  <si>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</si>
  <si>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</si>
  <si>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</si>
  <si>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</si>
  <si>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</si>
  <si>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</si>
  <si>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</si>
  <si>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</si>
  <si>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</si>
  <si>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</si>
  <si>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</si>
  <si>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</si>
  <si>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</si>
  <si>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</si>
  <si>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</si>
  <si>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</si>
  <si>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</si>
  <si>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</si>
  <si>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</si>
  <si>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</si>
  <si>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</si>
  <si>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</si>
  <si>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</si>
  <si>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</si>
  <si>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</si>
  <si>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</si>
  <si>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</si>
  <si>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</si>
  <si>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</si>
  <si>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</si>
  <si>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</si>
  <si>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</si>
  <si>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</si>
  <si>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</si>
  <si>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</si>
  <si>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</si>
  <si>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</si>
  <si>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</si>
  <si>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</si>
  <si>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</si>
  <si>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</si>
  <si>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</si>
  <si>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</si>
  <si>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</si>
  <si>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</si>
  <si>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</si>
  <si>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</si>
  <si>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</si>
  <si>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</si>
  <si>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</si>
  <si>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</si>
  <si>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</si>
  <si>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</si>
  <si>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</si>
  <si>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</si>
  <si>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</si>
  <si>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</si>
  <si>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</si>
  <si>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</si>
  <si>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</si>
  <si>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</si>
  <si>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</si>
  <si>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</si>
  <si>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</si>
  <si>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</si>
  <si>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</si>
  <si>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</si>
  <si>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</si>
  <si>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</si>
  <si>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</si>
  <si>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</si>
  <si>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</si>
  <si>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</si>
  <si>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</si>
  <si>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</si>
  <si>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</si>
  <si>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</si>
  <si>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</si>
  <si>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</si>
  <si>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</si>
  <si>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</si>
  <si>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</si>
  <si>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</si>
  <si>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</si>
  <si>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</si>
  <si>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</si>
  <si>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</si>
  <si>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</si>
  <si>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</si>
  <si>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</si>
  <si>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</si>
  <si>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</si>
  <si>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</si>
  <si>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</si>
  <si>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</si>
  <si>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</si>
  <si>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</si>
  <si>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</si>
  <si>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</si>
  <si>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</si>
  <si>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</si>
  <si>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</si>
  <si>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</si>
  <si>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</si>
  <si>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</si>
  <si>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</si>
  <si>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</si>
  <si>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</si>
  <si>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</si>
  <si>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</si>
  <si>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</si>
  <si>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</si>
  <si>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</si>
  <si>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</si>
  <si>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</si>
  <si>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</si>
  <si>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</si>
  <si>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</si>
  <si>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</si>
  <si>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</si>
  <si>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</si>
  <si>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</si>
  <si>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</si>
  <si>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</si>
  <si>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</si>
  <si>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</si>
  <si>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</si>
  <si>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</si>
  <si>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</si>
  <si>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</si>
  <si>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</si>
  <si>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</si>
  <si>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</si>
  <si>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</si>
  <si>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</si>
  <si>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</si>
  <si>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</si>
  <si>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</si>
  <si>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</si>
  <si>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</si>
  <si>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</si>
  <si>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</si>
  <si>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</si>
  <si>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</si>
  <si>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</si>
  <si>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</si>
  <si>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</si>
  <si>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</si>
  <si>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</si>
  <si>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</si>
  <si>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</si>
  <si>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</si>
  <si>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</si>
  <si>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</si>
  <si>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</si>
  <si>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</si>
  <si>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</si>
  <si>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</si>
  <si>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</si>
  <si>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</si>
  <si>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</si>
  <si>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</si>
  <si>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</si>
  <si>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</si>
  <si>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</si>
  <si>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</si>
  <si>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</si>
  <si>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</si>
  <si>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</si>
  <si>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</si>
  <si>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</si>
  <si>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</si>
  <si>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</si>
  <si>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</si>
  <si>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</si>
  <si>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</si>
  <si>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</si>
  <si>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</si>
  <si>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</si>
  <si>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</si>
  <si>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</si>
  <si>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</si>
  <si>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</si>
  <si>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</si>
  <si>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</si>
  <si>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</si>
  <si>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</si>
  <si>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</si>
  <si>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</si>
  <si>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</si>
  <si>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</si>
  <si>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</si>
  <si>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</si>
  <si>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</si>
  <si>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</si>
  <si>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</si>
  <si>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</si>
  <si>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</si>
  <si>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</si>
  <si>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</si>
  <si>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</si>
  <si>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</si>
  <si>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</si>
  <si>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</si>
  <si>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</si>
  <si>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</si>
  <si>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</si>
  <si>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</si>
  <si>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</si>
  <si>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</si>
  <si>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</si>
  <si>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</si>
  <si>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</si>
  <si>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</si>
  <si>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</si>
  <si>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</si>
  <si>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</si>
  <si>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</si>
  <si>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</si>
  <si>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</si>
  <si>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</si>
  <si>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</si>
  <si>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</si>
  <si>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</si>
  <si>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</si>
  <si>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</si>
  <si>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</si>
  <si>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</si>
  <si>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</si>
  <si>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</si>
  <si>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</si>
  <si>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</si>
  <si>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</si>
  <si>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</si>
  <si>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</si>
  <si>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</si>
  <si>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</si>
  <si>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</si>
  <si>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</si>
  <si>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</si>
  <si>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</si>
  <si>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</si>
  <si>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</si>
  <si>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</si>
  <si>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</si>
  <si>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</si>
  <si>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</si>
  <si>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</si>
  <si>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</si>
  <si>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</si>
  <si>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</si>
  <si>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</si>
  <si>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</si>
  <si>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</si>
  <si>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</si>
  <si>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</si>
  <si>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</si>
  <si>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</si>
  <si>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</si>
  <si>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</si>
  <si>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</si>
  <si>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</si>
  <si>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</si>
  <si>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</si>
  <si>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</si>
  <si>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</si>
  <si>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</si>
  <si>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</si>
  <si>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</si>
  <si>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</si>
  <si>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</si>
  <si>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</si>
  <si>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</si>
  <si>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</si>
  <si>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</si>
  <si>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</si>
  <si>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</si>
  <si>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</si>
  <si>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</si>
  <si>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</si>
  <si>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</si>
  <si>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</si>
  <si>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</si>
  <si>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</si>
  <si>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</si>
  <si>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</si>
  <si>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</si>
  <si>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</si>
  <si>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</si>
  <si>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</si>
  <si>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</si>
  <si>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</si>
  <si>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</si>
  <si>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</si>
  <si>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</si>
  <si>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</si>
  <si>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</si>
  <si>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</si>
  <si>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</si>
  <si>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</si>
  <si>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</si>
  <si>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</si>
  <si>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</si>
  <si>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</si>
  <si>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</si>
  <si>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</si>
  <si>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</si>
  <si>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</si>
  <si>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</si>
  <si>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</si>
  <si>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</si>
  <si>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</si>
  <si>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</si>
  <si>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</si>
  <si>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</si>
  <si>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</si>
  <si>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</si>
  <si>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</si>
  <si>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</si>
  <si>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</si>
  <si>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</si>
  <si>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</si>
  <si>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</si>
  <si>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</si>
  <si>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</si>
  <si>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</si>
  <si>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</si>
  <si>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</si>
  <si>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</si>
  <si>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</si>
  <si>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</si>
  <si>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</si>
  <si>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</si>
  <si>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</si>
  <si>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</si>
  <si>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</si>
  <si>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</si>
  <si>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</si>
  <si>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</si>
  <si>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</si>
  <si>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</si>
  <si>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</si>
  <si>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</si>
  <si>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</si>
  <si>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</si>
  <si>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</si>
  <si>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</si>
  <si>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</si>
  <si>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</si>
  <si>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</si>
  <si>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</si>
  <si>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</si>
  <si>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</si>
  <si>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</si>
  <si>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</si>
  <si>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</si>
  <si>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</si>
  <si>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</si>
  <si>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</si>
  <si>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</si>
  <si>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</si>
  <si>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</si>
  <si>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</si>
  <si>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</si>
  <si>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</si>
  <si>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</si>
  <si>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</si>
  <si>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</si>
  <si>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</si>
  <si>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</si>
  <si>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</si>
  <si>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</si>
  <si>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</si>
  <si>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</si>
  <si>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</si>
  <si>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</si>
  <si>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</si>
  <si>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</si>
  <si>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</si>
  <si>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</si>
  <si>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</si>
  <si>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</si>
  <si>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</si>
  <si>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</si>
  <si>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</si>
  <si>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</si>
  <si>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</si>
  <si>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</si>
  <si>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</si>
  <si>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</si>
  <si>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</si>
  <si>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</si>
  <si>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</si>
  <si>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</si>
  <si>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</si>
  <si>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</si>
  <si>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</si>
  <si>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</si>
  <si>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</si>
  <si>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</si>
  <si>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</si>
  <si>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</si>
  <si>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</si>
  <si>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</si>
  <si>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</si>
  <si>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</si>
  <si>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</si>
  <si>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</si>
  <si>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</si>
  <si>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</si>
  <si>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</si>
  <si>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</si>
  <si>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</si>
  <si>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</si>
  <si>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</si>
  <si>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</si>
  <si>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</si>
  <si>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</si>
  <si>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</si>
  <si>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</si>
  <si>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</si>
  <si>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</si>
  <si>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</si>
  <si>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</si>
  <si>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</si>
  <si>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</si>
  <si>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</si>
  <si>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</si>
  <si>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</si>
  <si>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</si>
  <si>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</si>
  <si>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</si>
  <si>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</si>
  <si>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</si>
  <si>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</si>
  <si>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</si>
  <si>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</si>
  <si>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</si>
  <si>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</si>
  <si>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</si>
  <si>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</si>
  <si>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</si>
  <si>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</si>
  <si>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</si>
  <si>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</si>
  <si>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</si>
  <si>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</si>
  <si>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</si>
  <si>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</si>
  <si>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</si>
  <si>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</si>
  <si>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</si>
  <si>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</si>
  <si>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</si>
  <si>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</si>
  <si>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</si>
  <si>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</si>
  <si>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</si>
  <si>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</si>
  <si>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</si>
  <si>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</si>
  <si>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</si>
  <si>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</si>
  <si>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</si>
  <si>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</si>
  <si>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</si>
  <si>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</si>
  <si>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</si>
  <si>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</si>
  <si>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</si>
  <si>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</si>
  <si>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</si>
  <si>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</si>
  <si>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</si>
  <si>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</si>
  <si>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</si>
  <si>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</si>
  <si>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</si>
  <si>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</si>
  <si>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</si>
  <si>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</si>
  <si>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</si>
  <si>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</si>
  <si>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</si>
  <si>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</si>
  <si>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</si>
  <si>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</si>
  <si>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</si>
  <si>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</si>
  <si>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</si>
  <si>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</si>
  <si>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</si>
  <si>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</si>
  <si>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</si>
  <si>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</si>
  <si>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</si>
  <si>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</si>
  <si>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</si>
  <si>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</si>
  <si>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</si>
  <si>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</si>
  <si>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</si>
  <si>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</si>
  <si>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</si>
  <si>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</si>
  <si>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</si>
  <si>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</si>
  <si>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</si>
  <si>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</si>
  <si>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</si>
  <si>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</si>
  <si>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</si>
  <si>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</si>
  <si>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</si>
  <si>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</si>
  <si>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</si>
  <si>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</si>
  <si>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</si>
  <si>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</si>
  <si>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</si>
  <si>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</si>
  <si>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</si>
  <si>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</si>
  <si>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</si>
  <si>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</si>
  <si>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</si>
  <si>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</si>
  <si>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</si>
  <si>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</si>
  <si>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</si>
  <si>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</si>
  <si>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</si>
  <si>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</si>
  <si>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</si>
  <si>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</si>
  <si>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</si>
  <si>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</si>
  <si>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</si>
  <si>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</si>
  <si>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</si>
  <si>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</si>
  <si>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</si>
  <si>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</si>
  <si>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</si>
  <si>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</si>
  <si>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</si>
  <si>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</si>
  <si>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</si>
  <si>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</si>
  <si>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</si>
  <si>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</si>
  <si>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</si>
  <si>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</si>
  <si>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</si>
  <si>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</si>
  <si>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</si>
  <si>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</si>
  <si>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</si>
  <si>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</si>
  <si>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</si>
  <si>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</si>
  <si>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</si>
  <si>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</si>
  <si>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</si>
  <si>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</si>
  <si>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</si>
  <si>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</si>
  <si>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</si>
  <si>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</si>
  <si>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</si>
  <si>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</si>
  <si>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</si>
  <si>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</si>
  <si>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</si>
  <si>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</si>
  <si>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</si>
  <si>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</si>
  <si>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</si>
  <si>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</si>
  <si>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</si>
  <si>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</si>
  <si>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</si>
  <si>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</si>
  <si>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</si>
  <si>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</si>
  <si>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</si>
  <si>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</si>
  <si>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</si>
  <si>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</si>
  <si>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</si>
  <si>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</si>
  <si>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</si>
  <si>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</si>
  <si>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</si>
  <si>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</si>
  <si>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</si>
  <si>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</si>
  <si>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</si>
  <si>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</si>
  <si>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</si>
  <si>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</si>
  <si>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</si>
  <si>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</si>
  <si>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</si>
  <si>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</si>
  <si>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</si>
  <si>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</si>
  <si>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</si>
  <si>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</si>
  <si>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</si>
  <si>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</si>
  <si>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</si>
  <si>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</si>
  <si>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</si>
  <si>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</si>
  <si>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</si>
  <si>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</si>
  <si>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</si>
  <si>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</si>
  <si>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</si>
  <si>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</si>
  <si>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</si>
  <si>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</si>
  <si>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</si>
  <si>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</si>
  <si>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</si>
  <si>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</si>
  <si>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</si>
  <si>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</si>
  <si>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</si>
  <si>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</si>
  <si>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</si>
  <si>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</si>
  <si>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</si>
  <si>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</si>
  <si>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</si>
  <si>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</si>
  <si>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</si>
  <si>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</si>
  <si>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</si>
  <si>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</si>
  <si>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</si>
  <si>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</si>
  <si>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</si>
  <si>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</si>
  <si>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</si>
  <si>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</si>
  <si>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</si>
  <si>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</si>
  <si>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</si>
  <si>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</si>
  <si>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</si>
  <si>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</si>
  <si>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</si>
  <si>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</si>
  <si>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</si>
  <si>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</si>
  <si>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</si>
  <si>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</si>
  <si>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</si>
  <si>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</si>
  <si>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</si>
  <si>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</si>
  <si>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</si>
  <si>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</si>
  <si>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</si>
  <si>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</si>
  <si>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</si>
  <si>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</si>
  <si>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</si>
  <si>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</si>
  <si>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</si>
  <si>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</si>
  <si>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</si>
  <si>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</si>
  <si>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</si>
  <si>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</si>
  <si>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</si>
  <si>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</si>
  <si>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</si>
  <si>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</si>
  <si>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</si>
  <si>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</si>
  <si>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</si>
  <si>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</si>
  <si>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</si>
  <si>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</si>
  <si>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</si>
  <si>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</si>
  <si>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</si>
  <si>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</si>
  <si>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</si>
  <si>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</si>
  <si>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</si>
  <si>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</si>
  <si>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</si>
  <si>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</si>
  <si>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</si>
  <si>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</si>
  <si>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</si>
  <si>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</si>
  <si>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</si>
  <si>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</si>
  <si>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</si>
  <si>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</si>
  <si>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</si>
  <si>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</si>
  <si>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</si>
  <si>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</si>
  <si>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</si>
  <si>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</si>
  <si>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</si>
  <si>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</si>
  <si>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</si>
  <si>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</si>
  <si>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</si>
  <si>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</si>
  <si>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</si>
  <si>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</si>
  <si>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</si>
  <si>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</si>
  <si>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</si>
  <si>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</si>
  <si>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</si>
  <si>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</si>
  <si>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</si>
  <si>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</si>
  <si>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</si>
  <si>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</si>
  <si>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</si>
  <si>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</si>
  <si>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</si>
  <si>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</si>
  <si>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</si>
  <si>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</si>
  <si>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</si>
  <si>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</si>
  <si>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</si>
  <si>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</si>
  <si>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</si>
  <si>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</si>
  <si>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</si>
  <si>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</si>
  <si>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</si>
  <si>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</si>
  <si>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</si>
  <si>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</si>
  <si>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</si>
  <si>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</si>
  <si>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</si>
  <si>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</si>
  <si>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</si>
  <si>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</si>
  <si>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</si>
  <si>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</si>
  <si>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</si>
  <si>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</si>
  <si>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</si>
  <si>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</si>
  <si>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</si>
  <si>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</si>
  <si>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</si>
  <si>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</si>
  <si>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</si>
  <si>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</si>
  <si>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</si>
  <si>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</si>
  <si>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</si>
  <si>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</si>
  <si>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</si>
  <si>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</si>
  <si>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</si>
  <si>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</si>
  <si>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</si>
  <si>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</si>
  <si>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</si>
  <si>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</si>
  <si>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</si>
  <si>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</si>
  <si>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</si>
  <si>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</si>
  <si>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</si>
  <si>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</si>
  <si>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</si>
  <si>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</si>
  <si>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</si>
  <si>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</si>
  <si>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</si>
  <si>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</si>
  <si>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</si>
  <si>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</si>
  <si>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</si>
  <si>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</si>
  <si>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</si>
  <si>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</si>
  <si>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</si>
  <si>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</si>
  <si>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</si>
  <si>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</si>
  <si>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</si>
  <si>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</si>
  <si>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</si>
  <si>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</si>
  <si>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</si>
  <si>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</si>
  <si>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</si>
  <si>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</si>
  <si>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</si>
  <si>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</si>
  <si>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</si>
  <si>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</si>
  <si>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</si>
  <si>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</si>
  <si>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</si>
  <si>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</si>
  <si>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</si>
  <si>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</si>
  <si>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</si>
  <si>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</si>
  <si>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</si>
  <si>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</si>
  <si>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</si>
  <si>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</si>
  <si>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</si>
  <si>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</si>
  <si>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</si>
  <si>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</si>
  <si>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</si>
  <si>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</si>
  <si>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</si>
  <si>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</si>
  <si>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</si>
  <si>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</si>
  <si>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</si>
  <si>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</si>
  <si>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</si>
  <si>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</si>
  <si>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</si>
  <si>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</si>
  <si>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</si>
  <si>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</si>
  <si>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</si>
  <si>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</si>
  <si>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</si>
  <si>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</si>
  <si>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</si>
  <si>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</si>
  <si>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</si>
  <si>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</si>
  <si>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</si>
  <si>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</si>
  <si>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</si>
  <si>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</si>
  <si>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</si>
  <si>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</si>
  <si>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</si>
  <si>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</si>
  <si>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</si>
  <si>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</si>
  <si>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</si>
  <si>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</si>
  <si>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</si>
  <si>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</si>
  <si>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</si>
  <si>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</si>
  <si>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</si>
  <si>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</si>
  <si>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</si>
  <si>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</si>
  <si>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</si>
  <si>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</si>
  <si>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</si>
  <si>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</si>
  <si>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</si>
  <si>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</si>
  <si>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</si>
  <si>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</si>
  <si>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</si>
  <si>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</si>
  <si>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</si>
  <si>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</si>
  <si>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</si>
  <si>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</si>
  <si>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</si>
  <si>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</si>
  <si>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</si>
  <si>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</si>
  <si>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</si>
  <si>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</si>
  <si>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</si>
  <si>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</si>
  <si>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</si>
  <si>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</si>
  <si>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</si>
  <si>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</si>
  <si>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</si>
  <si>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</si>
  <si>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</si>
  <si>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</si>
  <si>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</si>
  <si>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</si>
  <si>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</si>
  <si>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</si>
  <si>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</si>
  <si>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</si>
  <si>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</si>
  <si>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</si>
  <si>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</si>
  <si>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</si>
  <si>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</si>
  <si>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</si>
  <si>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</si>
  <si>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</si>
  <si>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</si>
  <si>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</si>
  <si>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</si>
  <si>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</si>
  <si>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</si>
  <si>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</si>
  <si>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</si>
  <si>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</si>
  <si>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</si>
  <si>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</si>
  <si>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</si>
  <si>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</si>
  <si>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</si>
  <si>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</si>
  <si>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</si>
  <si>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</si>
  <si>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</si>
  <si>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</si>
  <si>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</si>
  <si>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</si>
  <si>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</si>
  <si>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</si>
  <si>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</si>
  <si>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</si>
  <si>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</si>
  <si>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</si>
  <si>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</si>
  <si>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</si>
  <si>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</si>
  <si>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</si>
  <si>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</si>
  <si>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</si>
  <si>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</si>
  <si>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</si>
  <si>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</si>
  <si>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</si>
  <si>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</si>
  <si>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</si>
  <si>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</si>
  <si>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</si>
  <si>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</si>
  <si>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</si>
  <si>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</si>
  <si>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</si>
  <si>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</si>
  <si>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</si>
  <si>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</si>
  <si>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</si>
  <si>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</si>
  <si>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</si>
  <si>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</si>
  <si>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</si>
  <si>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</si>
  <si>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</si>
  <si>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</si>
  <si>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</si>
  <si>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</si>
  <si>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</si>
  <si>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</si>
  <si>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</si>
  <si>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</si>
  <si>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</si>
  <si>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</si>
  <si>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</si>
  <si>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</si>
  <si>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</si>
  <si>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</si>
  <si>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</si>
  <si>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</si>
  <si>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</si>
  <si>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</si>
  <si>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</si>
  <si>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</si>
  <si>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</si>
  <si>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</si>
  <si>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</si>
  <si>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</si>
  <si>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</si>
  <si>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</si>
  <si>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</si>
  <si>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</si>
  <si>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</si>
  <si>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</si>
  <si>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</si>
  <si>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</si>
  <si>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</si>
  <si>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</si>
  <si>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</si>
  <si>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</si>
  <si>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</si>
  <si>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</si>
  <si>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</si>
  <si>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</si>
  <si>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</si>
  <si>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</si>
  <si>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</si>
  <si>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</si>
  <si>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</si>
  <si>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</si>
  <si>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</si>
  <si>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</si>
  <si>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</si>
  <si>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</si>
  <si>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</si>
  <si>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</si>
  <si>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</si>
  <si>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</si>
  <si>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</si>
  <si>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</si>
  <si>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</si>
  <si>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</si>
  <si>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</si>
  <si>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</si>
  <si>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</si>
  <si>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</si>
  <si>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</si>
  <si>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</si>
  <si>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</si>
  <si>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</si>
  <si>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</si>
  <si>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</si>
  <si>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</si>
  <si>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</si>
  <si>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</si>
  <si>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</si>
  <si>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</si>
  <si>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</si>
  <si>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</si>
  <si>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</si>
  <si>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</si>
  <si>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</si>
  <si>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</si>
  <si>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</si>
  <si>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</si>
  <si>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</si>
  <si>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</si>
  <si>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</si>
  <si>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</si>
  <si>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</si>
  <si>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</si>
  <si>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</si>
  <si>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</si>
  <si>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</si>
  <si>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</si>
  <si>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</si>
  <si>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</si>
  <si>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</si>
  <si>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</si>
  <si>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</si>
  <si>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</si>
  <si>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</si>
  <si>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</si>
  <si>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</si>
  <si>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</si>
  <si>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</si>
  <si>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</si>
  <si>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</si>
  <si>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</si>
  <si>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</si>
  <si>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</si>
  <si>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</si>
  <si>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</si>
  <si>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</si>
  <si>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</si>
  <si>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</si>
  <si>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</si>
  <si>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</si>
  <si>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</si>
  <si>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</si>
  <si>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</si>
  <si>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</si>
  <si>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</si>
  <si>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</si>
  <si>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</si>
  <si>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</si>
  <si>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</si>
  <si>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</si>
  <si>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</si>
  <si>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</si>
  <si>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</si>
  <si>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</si>
  <si>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</si>
  <si>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</si>
  <si>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</si>
  <si>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</si>
  <si>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</si>
  <si>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</si>
  <si>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</si>
  <si>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</si>
  <si>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</si>
  <si>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</si>
  <si>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</si>
  <si>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</si>
  <si>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</si>
  <si>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</si>
  <si>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</si>
  <si>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</si>
  <si>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</si>
  <si>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</si>
  <si>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</si>
  <si>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</si>
  <si>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</si>
  <si>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</si>
  <si>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</si>
  <si>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</si>
  <si>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</si>
  <si>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</si>
  <si>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</si>
  <si>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</si>
  <si>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</si>
  <si>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</si>
  <si>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</si>
  <si>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</si>
  <si>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</si>
  <si>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</si>
  <si>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</si>
  <si>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</si>
  <si>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</si>
  <si>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</si>
  <si>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</si>
  <si>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</si>
  <si>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</si>
  <si>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</si>
  <si>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</si>
  <si>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</si>
  <si>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</si>
  <si>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</si>
  <si>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</si>
  <si>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</si>
  <si>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</si>
  <si>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</si>
  <si>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</si>
  <si>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</si>
  <si>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</si>
  <si>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</si>
  <si>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</si>
  <si>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</si>
  <si>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</si>
  <si>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</si>
  <si>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</si>
  <si>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</si>
  <si>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</si>
  <si>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</si>
  <si>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</si>
  <si>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</si>
  <si>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</si>
  <si>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</si>
  <si>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</si>
  <si>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</si>
  <si>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</si>
  <si>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</si>
  <si>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</si>
  <si>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</si>
  <si>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</si>
  <si>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</si>
  <si>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</si>
  <si>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</si>
  <si>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</si>
  <si>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</si>
  <si>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</si>
  <si>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</si>
  <si>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</si>
  <si>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</si>
  <si>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</si>
  <si>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</si>
  <si>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</si>
  <si>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</si>
  <si>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</si>
  <si>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</si>
  <si>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</si>
  <si>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</si>
  <si>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</si>
  <si>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</si>
  <si>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</si>
  <si>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</si>
  <si>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</si>
  <si>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</si>
  <si>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</si>
  <si>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</si>
  <si>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</si>
  <si>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</si>
  <si>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</si>
  <si>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</si>
  <si>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</si>
  <si>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</si>
  <si>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</si>
  <si>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</si>
  <si>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</si>
  <si>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</si>
  <si>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</si>
  <si>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</si>
  <si>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</si>
  <si>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</si>
  <si>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</si>
  <si>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</si>
  <si>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</si>
  <si>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</si>
  <si>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</si>
  <si>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</si>
  <si>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</si>
  <si>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</si>
  <si>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</si>
  <si>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</si>
  <si>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</si>
  <si>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</si>
  <si>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</si>
  <si>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</si>
  <si>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</si>
  <si>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</si>
  <si>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</si>
  <si>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</si>
  <si>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</si>
  <si>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</si>
  <si>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</si>
  <si>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</si>
  <si>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</si>
  <si>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</si>
  <si>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</si>
  <si>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</si>
  <si>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</si>
  <si>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</si>
  <si>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</si>
  <si>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</si>
  <si>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</si>
  <si>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</si>
  <si>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</si>
  <si>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</si>
  <si>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</si>
  <si>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</si>
  <si>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</si>
  <si>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</si>
  <si>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</si>
  <si>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</si>
  <si>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</si>
  <si>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</si>
  <si>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</si>
  <si>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</si>
  <si>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</si>
  <si>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</si>
  <si>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</si>
  <si>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</si>
  <si>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</si>
  <si>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</si>
  <si>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</si>
  <si>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</si>
  <si>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</si>
  <si>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</si>
  <si>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</si>
  <si>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</si>
  <si>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</si>
  <si>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</si>
  <si>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</si>
  <si>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</si>
  <si>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</si>
  <si>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</si>
  <si>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</si>
  <si>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</si>
  <si>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</si>
  <si>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</si>
  <si>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</si>
  <si>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</si>
  <si>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</si>
  <si>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</si>
  <si>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</si>
  <si>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</si>
  <si>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</si>
  <si>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</si>
  <si>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</si>
  <si>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</si>
  <si>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</si>
  <si>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</si>
  <si>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</si>
  <si>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</si>
  <si>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</si>
  <si>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</si>
  <si>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</si>
  <si>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</si>
  <si>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</si>
  <si>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</si>
  <si>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</si>
  <si>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</si>
  <si>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</si>
  <si>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</si>
  <si>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</si>
  <si>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</si>
  <si>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</si>
  <si>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</si>
  <si>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</si>
  <si>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</si>
  <si>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</si>
  <si>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</si>
  <si>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</si>
  <si>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</si>
  <si>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</si>
  <si>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</si>
  <si>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</si>
  <si>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</si>
  <si>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</si>
  <si>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</si>
  <si>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</si>
  <si>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</si>
  <si>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</si>
  <si>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</si>
  <si>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</si>
  <si>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</si>
  <si>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</si>
  <si>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</si>
  <si>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</si>
  <si>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</si>
  <si>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</si>
  <si>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</si>
  <si>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</si>
  <si>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</si>
  <si>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</si>
  <si>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</si>
  <si>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</si>
  <si>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</si>
  <si>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</si>
  <si>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</si>
  <si>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</si>
  <si>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</si>
  <si>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</si>
  <si>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</si>
  <si>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</si>
  <si>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</si>
  <si>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</si>
  <si>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</si>
  <si>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</si>
  <si>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</si>
  <si>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</si>
  <si>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</si>
  <si>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</si>
  <si>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</si>
  <si>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</si>
  <si>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</si>
  <si>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</si>
  <si>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</si>
  <si>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</si>
  <si>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</si>
  <si>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</si>
  <si>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</si>
  <si>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</si>
  <si>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</si>
  <si>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</si>
  <si>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</si>
  <si>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</si>
  <si>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</si>
  <si>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</si>
  <si>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</si>
  <si>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</si>
  <si>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</si>
  <si>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</si>
  <si>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</si>
  <si>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</si>
  <si>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</si>
  <si>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</si>
  <si>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</si>
  <si>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</si>
  <si>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</si>
  <si>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</si>
  <si>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</si>
  <si>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</si>
  <si>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</si>
  <si>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</si>
  <si>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</si>
  <si>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</si>
  <si>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</si>
  <si>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</si>
  <si>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</si>
  <si>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</si>
  <si>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</si>
  <si>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</si>
  <si>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</si>
  <si>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</si>
  <si>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</si>
  <si>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</si>
  <si>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</si>
  <si>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</si>
  <si>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</si>
  <si>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</si>
  <si>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</si>
  <si>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</si>
  <si>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</si>
  <si>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</si>
  <si>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</si>
  <si>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</si>
  <si>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</si>
  <si>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</si>
  <si>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</si>
  <si>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</si>
  <si>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</si>
  <si>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</si>
  <si>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</si>
  <si>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</si>
  <si>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</si>
  <si>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</si>
  <si>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</si>
  <si>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</si>
  <si>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</si>
  <si>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</si>
  <si>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</si>
  <si>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</si>
  <si>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</si>
  <si>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</si>
  <si>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</si>
  <si>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</si>
  <si>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</si>
  <si>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</si>
  <si>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</si>
  <si>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</si>
  <si>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</si>
  <si>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</si>
  <si>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</si>
  <si>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</si>
  <si>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</si>
  <si>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</si>
  <si>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</si>
  <si>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</si>
  <si>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</si>
  <si>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</si>
  <si>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</si>
  <si>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</si>
  <si>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</si>
  <si>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</si>
  <si>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</si>
  <si>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</si>
  <si>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</si>
  <si>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</si>
  <si>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</si>
  <si>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</si>
  <si>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</si>
  <si>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</si>
  <si>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</si>
  <si>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</si>
  <si>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</si>
  <si>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</si>
  <si>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</si>
  <si>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</si>
  <si>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</si>
  <si>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</si>
  <si>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</si>
  <si>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</si>
  <si>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</si>
  <si>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</si>
  <si>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</si>
  <si>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</si>
  <si>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</si>
  <si>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</si>
  <si>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</si>
  <si>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</si>
  <si>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</si>
  <si>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</si>
  <si>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</si>
  <si>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</si>
  <si>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</si>
  <si>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</si>
  <si>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</si>
  <si>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</si>
  <si>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</si>
  <si>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</si>
  <si>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</si>
  <si>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</si>
  <si>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</si>
  <si>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</si>
  <si>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</si>
  <si>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</si>
  <si>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</si>
  <si>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</si>
  <si>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</si>
  <si>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</si>
  <si>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</si>
  <si>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</si>
  <si>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</si>
  <si>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</si>
  <si>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</si>
  <si>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</si>
  <si>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</si>
  <si>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</si>
  <si>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</si>
  <si>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</si>
  <si>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</si>
  <si>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</si>
  <si>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</si>
  <si>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</si>
  <si>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</si>
  <si>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</si>
  <si>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</si>
  <si>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</si>
  <si>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</si>
  <si>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</si>
  <si>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</si>
  <si>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</si>
  <si>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</si>
  <si>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</si>
  <si>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</si>
  <si>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</si>
  <si>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</si>
  <si>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</si>
  <si>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</si>
  <si>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</si>
  <si>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</si>
  <si>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</si>
  <si>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</si>
  <si>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</si>
  <si>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</si>
  <si>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</si>
  <si>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</si>
  <si>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</si>
  <si>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</si>
  <si>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</si>
  <si>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</si>
  <si>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</si>
  <si>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</si>
  <si>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</si>
  <si>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</si>
  <si>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</si>
  <si>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</si>
  <si>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</si>
  <si>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</si>
  <si>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</si>
  <si>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</si>
  <si>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</si>
  <si>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</si>
  <si>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</si>
  <si>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</si>
  <si>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</si>
  <si>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</si>
  <si>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</si>
  <si>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</si>
  <si>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</si>
  <si>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</si>
  <si>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</si>
  <si>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</si>
  <si>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</si>
  <si>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</si>
  <si>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</si>
  <si>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</si>
  <si>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</si>
  <si>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</si>
  <si>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</si>
  <si>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</si>
  <si>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</si>
  <si>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</si>
  <si>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</si>
  <si>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</si>
  <si>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</si>
  <si>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</si>
  <si>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</si>
  <si>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</si>
  <si>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</si>
  <si>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</si>
  <si>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</si>
  <si>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</si>
  <si>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</si>
  <si>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</si>
  <si>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</si>
  <si>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</si>
  <si>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</si>
  <si>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</si>
  <si>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</si>
  <si>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</si>
  <si>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</si>
  <si>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</si>
  <si>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</si>
  <si>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</si>
  <si>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</si>
  <si>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</si>
  <si>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</si>
  <si>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</si>
  <si>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</si>
  <si>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</si>
  <si>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</si>
  <si>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</si>
  <si>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</si>
  <si>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</si>
  <si>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</si>
  <si>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</si>
  <si>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</si>
  <si>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</si>
  <si>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</si>
  <si>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</si>
  <si>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</si>
  <si>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</si>
  <si>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</si>
  <si>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</si>
  <si>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</si>
  <si>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</si>
  <si>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</si>
  <si>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</si>
  <si>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</si>
  <si>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</si>
  <si>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</si>
  <si>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</si>
  <si>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</si>
  <si>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</si>
  <si>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</si>
  <si>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</si>
  <si>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</si>
  <si>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</si>
  <si>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</si>
  <si>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</si>
  <si>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</si>
  <si>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</si>
  <si>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</si>
  <si>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</si>
  <si>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</si>
  <si>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</si>
  <si>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</si>
  <si>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</si>
  <si>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</si>
  <si>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</si>
  <si>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</si>
  <si>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</si>
  <si>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</si>
  <si>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</si>
  <si>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</si>
  <si>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</si>
  <si>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</si>
  <si>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</si>
  <si>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</si>
  <si>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</si>
  <si>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</si>
  <si>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</si>
  <si>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</si>
  <si>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</si>
  <si>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</si>
  <si>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</si>
  <si>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</si>
  <si>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</si>
  <si>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</si>
  <si>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</si>
  <si>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</si>
  <si>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</si>
  <si>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</si>
  <si>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</si>
  <si>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</si>
  <si>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</si>
  <si>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</si>
  <si>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</si>
  <si>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</si>
  <si>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</si>
  <si>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</si>
  <si>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</si>
  <si>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</si>
  <si>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</si>
  <si>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</si>
  <si>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</si>
  <si>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</si>
  <si>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</si>
  <si>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</si>
  <si>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</si>
  <si>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</si>
  <si>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</si>
  <si>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</si>
  <si>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</si>
  <si>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</si>
  <si>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</si>
  <si>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</si>
  <si>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</si>
  <si>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</si>
  <si>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</si>
  <si>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</si>
  <si>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</si>
  <si>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</si>
  <si>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</si>
  <si>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</si>
  <si>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</si>
  <si>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</si>
  <si>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</si>
  <si>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</si>
  <si>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</si>
  <si>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</si>
  <si>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</si>
  <si>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</si>
  <si>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</si>
  <si>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</si>
  <si>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</si>
  <si>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</si>
  <si>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</si>
  <si>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</si>
  <si>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</si>
  <si>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</si>
  <si>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</si>
  <si>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</si>
  <si>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</si>
  <si>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</si>
  <si>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</si>
  <si>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</si>
  <si>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</si>
  <si>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</si>
  <si>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</si>
  <si>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</si>
  <si>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</si>
  <si>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</si>
  <si>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</si>
  <si>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</si>
  <si>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</si>
  <si>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</si>
  <si>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</si>
  <si>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</si>
  <si>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</si>
  <si>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</si>
  <si>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</si>
  <si>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</si>
  <si>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</si>
  <si>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</si>
  <si>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</si>
  <si>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</si>
  <si>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</si>
  <si>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</si>
  <si>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</si>
  <si>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</si>
  <si>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</si>
  <si>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</si>
  <si>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</si>
  <si>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</si>
  <si>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</si>
  <si>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</si>
  <si>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</si>
  <si>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</si>
  <si>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</si>
  <si>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</si>
  <si>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</si>
  <si>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</si>
  <si>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</si>
  <si>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</si>
  <si>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</si>
  <si>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</si>
  <si>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</si>
  <si>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</si>
  <si>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</si>
  <si>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</si>
  <si>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</si>
  <si>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</si>
  <si>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</si>
  <si>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</si>
  <si>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</si>
  <si>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</si>
  <si>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</si>
  <si>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</si>
  <si>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</si>
  <si>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</si>
  <si>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</si>
  <si>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</si>
  <si>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</si>
  <si>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</si>
  <si>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</si>
  <si>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</si>
  <si>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</si>
  <si>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</si>
  <si>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</si>
  <si>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</si>
  <si>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</si>
  <si>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</si>
  <si>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</si>
  <si>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</si>
  <si>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</si>
  <si>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</si>
  <si>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</si>
  <si>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</si>
  <si>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</si>
  <si>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</si>
  <si>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</si>
  <si>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</si>
  <si>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</si>
  <si>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</si>
  <si>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</si>
  <si>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</si>
  <si>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</si>
  <si>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</si>
  <si>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</si>
  <si>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</si>
  <si>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</si>
  <si>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</si>
  <si>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</si>
  <si>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</si>
  <si>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</si>
  <si>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</si>
  <si>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</si>
  <si>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</si>
  <si>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</si>
  <si>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</si>
  <si>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</si>
  <si>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</si>
  <si>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</si>
  <si>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</si>
  <si>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</si>
  <si>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</si>
  <si>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</si>
  <si>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</si>
  <si>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</si>
  <si>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</si>
  <si>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</si>
  <si>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</si>
  <si>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</si>
  <si>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</si>
  <si>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</si>
  <si>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</si>
  <si>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</si>
  <si>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</si>
  <si>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</si>
  <si>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</si>
  <si>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</si>
  <si>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</si>
  <si>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</si>
  <si>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</si>
  <si>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</si>
  <si>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</si>
  <si>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</si>
  <si>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</si>
  <si>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</si>
  <si>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</si>
  <si>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</si>
  <si>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</si>
  <si>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</si>
  <si>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</si>
  <si>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</si>
  <si>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</si>
  <si>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</si>
  <si>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</si>
  <si>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</si>
  <si>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</si>
  <si>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</si>
  <si>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</si>
  <si>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</si>
  <si>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</si>
  <si>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</si>
  <si>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</si>
  <si>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</si>
  <si>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</si>
  <si>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</si>
  <si>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</si>
  <si>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</si>
  <si>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</si>
  <si>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</si>
  <si>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</si>
  <si>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</si>
  <si>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</si>
  <si>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</si>
  <si>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</si>
  <si>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</si>
  <si>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</si>
  <si>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</si>
  <si>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</si>
  <si>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</si>
  <si>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</si>
  <si>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</si>
  <si>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</si>
  <si>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</si>
  <si>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</si>
  <si>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</si>
  <si>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</si>
  <si>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</si>
  <si>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</si>
  <si>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</si>
  <si>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</si>
  <si>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</si>
  <si>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</si>
  <si>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</si>
  <si>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</si>
  <si>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</si>
  <si>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</si>
  <si>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</si>
  <si>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</si>
  <si>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</si>
  <si>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</si>
  <si>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</si>
  <si>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</si>
  <si>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</si>
  <si>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</si>
  <si>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</si>
  <si>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</si>
  <si>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</si>
  <si>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</si>
  <si>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</si>
  <si>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</si>
  <si>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</si>
  <si>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</si>
  <si>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</si>
  <si>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</si>
  <si>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</si>
  <si>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</si>
  <si>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</si>
  <si>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</si>
  <si>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</si>
  <si>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</si>
  <si>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</si>
  <si>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</si>
  <si>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</si>
  <si>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</si>
  <si>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</si>
  <si>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</si>
  <si>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</si>
  <si>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</si>
  <si>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</si>
  <si>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</si>
  <si>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</si>
  <si>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</si>
  <si>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</si>
  <si>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</si>
  <si>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</si>
  <si>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</si>
  <si>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</si>
  <si>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</si>
  <si>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</si>
  <si>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</si>
  <si>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</si>
  <si>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</si>
  <si>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</si>
  <si>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</si>
  <si>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</si>
  <si>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</si>
  <si>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</si>
  <si>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</si>
  <si>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</si>
  <si>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</si>
  <si>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</si>
  <si>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</si>
  <si>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</si>
  <si>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</si>
  <si>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</si>
  <si>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</si>
  <si>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</si>
  <si>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</si>
  <si>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</si>
  <si>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</si>
  <si>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</si>
  <si>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</si>
  <si>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</si>
  <si>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</si>
  <si>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</si>
  <si>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</si>
  <si>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</si>
  <si>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</si>
  <si>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</si>
  <si>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</si>
  <si>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</si>
  <si>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</si>
  <si>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</si>
  <si>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</si>
  <si>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</si>
  <si>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</si>
  <si>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</si>
  <si>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</si>
  <si>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</si>
  <si>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</si>
  <si>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</si>
  <si>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</si>
  <si>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</si>
  <si>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</si>
  <si>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</si>
  <si>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</si>
  <si>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</si>
  <si>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</si>
  <si>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</si>
  <si>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</si>
  <si>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</si>
  <si>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</si>
  <si>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</si>
  <si>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</si>
  <si>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</si>
  <si>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</si>
  <si>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</si>
  <si>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</si>
  <si>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</si>
  <si>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</si>
  <si>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</si>
  <si>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</si>
  <si>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</si>
  <si>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</si>
  <si>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</si>
  <si>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</si>
  <si>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</si>
  <si>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</si>
  <si>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</si>
  <si>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</si>
  <si>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</si>
  <si>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</si>
  <si>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</si>
  <si>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</si>
  <si>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</si>
  <si>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</si>
  <si>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</si>
  <si>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</si>
  <si>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</si>
  <si>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</si>
  <si>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</si>
  <si>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</si>
  <si>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</si>
  <si>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</si>
  <si>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</si>
  <si>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</si>
  <si>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</si>
  <si>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</si>
  <si>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</si>
  <si>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</si>
  <si>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</si>
  <si>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</si>
  <si>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</si>
  <si>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</si>
  <si>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</si>
  <si>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</si>
  <si>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</si>
  <si>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</si>
  <si>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</si>
  <si>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</si>
  <si>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</si>
  <si>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</si>
  <si>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</si>
  <si>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</si>
  <si>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</si>
  <si>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</si>
  <si>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</si>
  <si>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</si>
  <si>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</si>
  <si>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</si>
  <si>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</si>
  <si>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</si>
  <si>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</si>
  <si>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</si>
  <si>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</si>
  <si>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</si>
  <si>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</si>
  <si>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</si>
  <si>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</si>
  <si>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</si>
  <si>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</si>
  <si>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</si>
  <si>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</si>
  <si>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</si>
  <si>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</si>
  <si>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</si>
  <si>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</si>
  <si>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</si>
  <si>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</si>
  <si>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</si>
  <si>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</si>
  <si>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</si>
  <si>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</si>
  <si>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</si>
  <si>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</si>
  <si>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</si>
  <si>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</si>
  <si>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</si>
  <si>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</si>
  <si>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</si>
  <si>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</si>
  <si>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</si>
  <si>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</si>
  <si>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</si>
  <si>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</si>
  <si>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</si>
  <si>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</si>
  <si>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</si>
  <si>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</si>
  <si>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</si>
  <si>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</si>
  <si>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</si>
  <si>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</si>
  <si>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</si>
  <si>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</si>
  <si>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</si>
  <si>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</si>
  <si>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</si>
  <si>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</si>
  <si>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</si>
  <si>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</si>
  <si>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</si>
  <si>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</si>
  <si>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</si>
  <si>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</si>
  <si>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</si>
  <si>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</si>
  <si>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</si>
  <si>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</si>
  <si>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</si>
  <si>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</si>
  <si>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</si>
  <si>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</si>
  <si>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</si>
  <si>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</si>
  <si>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</si>
  <si>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</si>
  <si>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</si>
  <si>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</si>
  <si>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</si>
  <si>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</si>
  <si>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</si>
  <si>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</si>
  <si>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</si>
  <si>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</si>
  <si>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</si>
  <si>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</si>
  <si>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</si>
  <si>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</si>
  <si>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</si>
  <si>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</si>
  <si>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</si>
  <si>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</si>
  <si>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</si>
  <si>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</si>
  <si>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</si>
  <si>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</si>
  <si>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</si>
  <si>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</si>
  <si>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</si>
  <si>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</si>
  <si>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</si>
  <si>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</si>
  <si>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</si>
  <si>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</si>
  <si>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</si>
  <si>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</si>
  <si>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</si>
  <si>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</si>
  <si>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</si>
  <si>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</si>
  <si>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</si>
  <si>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</si>
  <si>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</si>
  <si>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</si>
  <si>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</si>
  <si>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</si>
  <si>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</si>
  <si>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</si>
  <si>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</si>
  <si>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</si>
  <si>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</si>
  <si>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</si>
  <si>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</si>
  <si>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</si>
  <si>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</si>
  <si>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</si>
  <si>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</si>
  <si>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</si>
  <si>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</si>
  <si>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</si>
  <si>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</si>
  <si>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</si>
  <si>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</si>
  <si>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</si>
  <si>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</si>
  <si>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</si>
  <si>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</si>
  <si>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</si>
  <si>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</si>
  <si>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</si>
  <si>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</si>
  <si>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</si>
  <si>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</si>
  <si>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</si>
  <si>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</si>
  <si>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</si>
  <si>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</si>
  <si>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</si>
  <si>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</si>
  <si>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</si>
  <si>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</si>
  <si>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</si>
  <si>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</si>
  <si>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</si>
  <si>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</si>
  <si>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</si>
  <si>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</si>
  <si>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</si>
  <si>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</si>
  <si>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</si>
  <si>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</si>
  <si>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</si>
  <si>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</si>
  <si>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</si>
  <si>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</si>
  <si>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</si>
  <si>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</si>
  <si>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</si>
  <si>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</si>
  <si>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</si>
  <si>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</si>
  <si>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</si>
  <si>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</si>
  <si>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</si>
  <si>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</si>
  <si>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</si>
  <si>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</si>
  <si>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</si>
  <si>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</si>
  <si>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</si>
  <si>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</si>
  <si>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</si>
  <si>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</si>
  <si>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</si>
  <si>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</si>
  <si>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</si>
  <si>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</si>
  <si>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</si>
  <si>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</si>
  <si>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</si>
  <si>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</si>
  <si>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</si>
  <si>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</si>
  <si>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</si>
  <si>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</si>
  <si>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</si>
  <si>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</si>
  <si>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</si>
  <si>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</si>
  <si>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</si>
  <si>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</si>
  <si>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</si>
  <si>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</si>
  <si>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</si>
  <si>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</si>
  <si>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</si>
  <si>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</si>
  <si>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</si>
  <si>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</si>
  <si>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</si>
  <si>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</si>
  <si>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</si>
  <si>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</si>
  <si>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</si>
  <si>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</si>
  <si>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</si>
  <si>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</si>
  <si>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</si>
  <si>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</si>
  <si>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</si>
  <si>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</si>
  <si>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</si>
  <si>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</si>
  <si>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</si>
  <si>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</si>
  <si>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</si>
  <si>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</si>
  <si>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</si>
  <si>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</si>
  <si>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</si>
  <si>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</si>
  <si>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</si>
  <si>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</si>
  <si>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</si>
  <si>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</si>
  <si>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</si>
  <si>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</si>
  <si>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</si>
  <si>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</si>
  <si>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</si>
  <si>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</si>
  <si>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</si>
  <si>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</si>
  <si>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</si>
  <si>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</si>
  <si>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</si>
  <si>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</si>
  <si>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</si>
  <si>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</si>
  <si>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</si>
  <si>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</si>
  <si>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</si>
  <si>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</si>
  <si>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</si>
  <si>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</si>
  <si>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</si>
  <si>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</si>
  <si>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</si>
  <si>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</si>
  <si>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</si>
  <si>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</si>
  <si>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</si>
  <si>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</si>
  <si>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</si>
  <si>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</si>
  <si>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</si>
  <si>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</si>
  <si>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</si>
  <si>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</si>
  <si>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</si>
  <si>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</si>
  <si>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</si>
  <si>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</si>
  <si>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</si>
  <si>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</si>
  <si>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</si>
  <si>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</si>
  <si>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</si>
  <si>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</si>
  <si>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</si>
  <si>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</si>
  <si>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</si>
  <si>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</si>
  <si>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</si>
  <si>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</si>
  <si>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</si>
  <si>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</si>
  <si>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</si>
  <si>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</si>
  <si>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</si>
  <si>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</si>
  <si>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</si>
  <si>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</si>
  <si>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</si>
  <si>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</si>
  <si>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</si>
  <si>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</si>
  <si>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</si>
  <si>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</si>
  <si>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</si>
  <si>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</si>
  <si>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</si>
  <si>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</si>
  <si>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</si>
  <si>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</si>
  <si>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</si>
  <si>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</si>
  <si>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</si>
  <si>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</si>
  <si>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</si>
  <si>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</si>
  <si>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</si>
  <si>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</si>
  <si>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</si>
  <si>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</si>
  <si>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</si>
  <si>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</si>
  <si>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</si>
  <si>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</si>
  <si>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</si>
  <si>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</si>
  <si>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</si>
  <si>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</si>
  <si>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</si>
  <si>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</si>
  <si>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</si>
  <si>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</si>
  <si>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</si>
  <si>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</si>
  <si>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</si>
  <si>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</si>
  <si>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</si>
  <si>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</si>
  <si>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</si>
  <si>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</si>
  <si>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</si>
  <si>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</si>
  <si>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</si>
  <si>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</si>
  <si>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</si>
  <si>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</si>
  <si>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</si>
  <si>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</si>
  <si>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</si>
  <si>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</si>
  <si>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</si>
  <si>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</si>
  <si>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</si>
  <si>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</si>
  <si>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</si>
  <si>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</si>
  <si>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</si>
  <si>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</si>
  <si>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</si>
  <si>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</si>
  <si>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</si>
  <si>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</si>
  <si>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</si>
  <si>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</si>
  <si>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</si>
  <si>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</si>
  <si>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</si>
  <si>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</si>
  <si>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</si>
  <si>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</si>
  <si>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</si>
  <si>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</si>
  <si>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</si>
  <si>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</si>
  <si>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</si>
  <si>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</si>
  <si>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</si>
  <si>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</si>
  <si>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</si>
  <si>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</si>
  <si>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</si>
  <si>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</si>
  <si>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</si>
  <si>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</si>
  <si>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</si>
  <si>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</si>
  <si>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</si>
  <si>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</si>
  <si>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</si>
  <si>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</si>
  <si>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</si>
  <si>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</si>
  <si>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</si>
  <si>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</si>
  <si>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</si>
  <si>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</si>
  <si>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</si>
  <si>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</si>
  <si>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</si>
  <si>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</si>
  <si>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</si>
  <si>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</si>
  <si>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</si>
  <si>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</si>
  <si>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</si>
  <si>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</si>
  <si>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</si>
  <si>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</si>
  <si>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</si>
  <si>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</si>
  <si>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</si>
  <si>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</si>
  <si>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</si>
  <si>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</si>
  <si>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</si>
  <si>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</si>
  <si>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</si>
  <si>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</si>
  <si>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</si>
  <si>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</si>
  <si>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</si>
  <si>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</si>
  <si>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</si>
  <si>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</si>
  <si>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</si>
  <si>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</si>
  <si>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</si>
  <si>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</si>
  <si>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</si>
  <si>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</si>
  <si>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</si>
  <si>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</si>
  <si>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</si>
  <si>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</si>
  <si>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</si>
  <si>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</si>
  <si>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</si>
  <si>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</si>
  <si>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</si>
  <si>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</si>
  <si>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</si>
  <si>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</si>
  <si>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</si>
  <si>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</si>
  <si>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</si>
  <si>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</si>
  <si>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</si>
  <si>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</si>
  <si>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</si>
  <si>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</si>
  <si>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</si>
  <si>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</si>
  <si>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</si>
  <si>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</si>
  <si>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</si>
  <si>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</si>
  <si>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</si>
  <si>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</si>
  <si>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</si>
  <si>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</si>
  <si>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</si>
  <si>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</si>
  <si>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</si>
  <si>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</si>
  <si>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</si>
  <si>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</si>
  <si>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</si>
  <si>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</si>
  <si>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</si>
  <si>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</si>
  <si>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</si>
  <si>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</si>
  <si>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</si>
  <si>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</si>
  <si>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</si>
  <si>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</si>
  <si>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</si>
  <si>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</si>
  <si>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</si>
  <si>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</si>
  <si>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</si>
  <si>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</si>
  <si>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</si>
  <si>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</si>
  <si>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</si>
  <si>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</si>
  <si>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</si>
  <si>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</si>
  <si>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</si>
  <si>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</si>
  <si>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</si>
  <si>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</si>
  <si>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</si>
  <si>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</si>
  <si>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</si>
  <si>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</si>
  <si>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</si>
  <si>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</si>
  <si>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</si>
  <si>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</si>
  <si>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</si>
  <si>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</si>
  <si>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</si>
  <si>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</si>
  <si>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</si>
  <si>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</si>
  <si>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</si>
  <si>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</si>
  <si>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</si>
  <si>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</si>
  <si>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</si>
  <si>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</si>
  <si>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</si>
  <si>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</si>
  <si>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</si>
  <si>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</si>
  <si>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</si>
  <si>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</si>
  <si>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</si>
  <si>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</si>
  <si>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</si>
  <si>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</si>
  <si>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</si>
  <si>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</si>
  <si>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</si>
  <si>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</si>
  <si>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</si>
  <si>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</si>
  <si>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</si>
  <si>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</si>
  <si>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</si>
  <si>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</si>
  <si>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</si>
  <si>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</si>
  <si>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</si>
  <si>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</si>
  <si>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</si>
  <si>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</si>
  <si>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</si>
  <si>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</si>
  <si>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</si>
  <si>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</si>
  <si>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</si>
  <si>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</si>
  <si>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</si>
  <si>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</si>
  <si>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</si>
  <si>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</si>
  <si>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</si>
  <si>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</si>
  <si>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</si>
  <si>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</si>
  <si>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</si>
  <si>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</si>
  <si>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</si>
  <si>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</si>
  <si>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</si>
  <si>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</si>
  <si>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</si>
  <si>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</si>
  <si>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</si>
  <si>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</si>
  <si>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</si>
  <si>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</si>
  <si>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</si>
  <si>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</si>
  <si>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</si>
  <si>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</si>
  <si>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</si>
  <si>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</si>
  <si>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</si>
  <si>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</si>
  <si>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</si>
  <si>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</si>
  <si>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</si>
  <si>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</si>
  <si>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</si>
  <si>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</si>
  <si>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</si>
  <si>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</si>
  <si>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</si>
  <si>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</si>
  <si>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</si>
  <si>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</si>
  <si>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</si>
  <si>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</si>
  <si>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</si>
  <si>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</si>
  <si>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</si>
  <si>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</si>
  <si>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</si>
  <si>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</si>
  <si>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</si>
  <si>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</si>
  <si>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</si>
  <si>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</si>
  <si>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</si>
  <si>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</si>
  <si>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</si>
  <si>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</si>
  <si>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</si>
  <si>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</si>
  <si>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</si>
  <si>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</si>
  <si>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</si>
  <si>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</si>
  <si>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</si>
  <si>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</si>
  <si>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</si>
  <si>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</si>
  <si>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</si>
  <si>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</si>
  <si>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</si>
  <si>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</si>
  <si>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</si>
  <si>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</si>
  <si>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</si>
  <si>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</si>
  <si>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</si>
  <si>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</si>
  <si>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</si>
  <si>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</si>
  <si>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</si>
  <si>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</si>
  <si>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</si>
  <si>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</si>
  <si>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</si>
  <si>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</si>
  <si>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</si>
  <si>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</si>
  <si>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</si>
  <si>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</si>
  <si>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</si>
  <si>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</si>
  <si>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</si>
  <si>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</si>
  <si>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</si>
  <si>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</si>
  <si>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</si>
  <si>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</si>
  <si>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</si>
  <si>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</si>
  <si>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</si>
  <si>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</si>
  <si>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</si>
  <si>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</si>
  <si>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</si>
  <si>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</si>
  <si>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</si>
  <si>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</si>
  <si>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</si>
  <si>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</si>
  <si>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</si>
  <si>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</si>
  <si>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</si>
  <si>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</si>
  <si>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</si>
  <si>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</si>
  <si>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</si>
  <si>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</si>
  <si>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</si>
  <si>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</si>
  <si>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</si>
  <si>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</si>
  <si>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</si>
  <si>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</si>
  <si>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</si>
  <si>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</si>
  <si>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</si>
  <si>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</si>
  <si>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</si>
  <si>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</si>
  <si>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</si>
  <si>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</si>
  <si>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</si>
  <si>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</si>
  <si>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</si>
  <si>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</si>
  <si>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</si>
  <si>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</si>
  <si>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</si>
  <si>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</si>
  <si>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</si>
  <si>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</si>
  <si>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</si>
  <si>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</si>
  <si>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</si>
  <si>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</si>
  <si>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</si>
  <si>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</si>
  <si>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</si>
  <si>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</si>
  <si>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</si>
  <si>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</si>
  <si>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</si>
  <si>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</si>
  <si>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</si>
  <si>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</si>
  <si>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</si>
  <si>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</si>
  <si>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</si>
  <si>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</si>
  <si>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</si>
  <si>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</si>
  <si>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</si>
  <si>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</si>
  <si>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</si>
  <si>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</si>
  <si>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</si>
  <si>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</si>
  <si>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</si>
  <si>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</si>
  <si>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</si>
  <si>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</si>
  <si>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</si>
  <si>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</si>
  <si>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</si>
  <si>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</si>
  <si>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</si>
  <si>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</si>
  <si>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</si>
  <si>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</si>
  <si>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</si>
  <si>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</si>
  <si>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</si>
  <si>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</si>
  <si>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</si>
  <si>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</si>
  <si>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</si>
  <si>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</si>
  <si>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</si>
  <si>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</si>
  <si>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</si>
  <si>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</si>
  <si>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</si>
  <si>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</si>
  <si>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</si>
  <si>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</si>
  <si>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</si>
  <si>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</si>
  <si>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</si>
  <si>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</si>
  <si>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</si>
  <si>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</si>
  <si>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</si>
  <si>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</si>
  <si>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</si>
  <si>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</si>
  <si>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</si>
  <si>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</si>
  <si>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</si>
  <si>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</si>
  <si>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</si>
  <si>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</si>
  <si>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</si>
  <si>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</si>
  <si>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</si>
  <si>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</si>
  <si>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</si>
  <si>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</si>
  <si>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</si>
  <si>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</si>
  <si>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</si>
  <si>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</si>
  <si>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</si>
  <si>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</si>
  <si>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</si>
  <si>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</si>
  <si>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</si>
  <si>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</si>
  <si>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</si>
  <si>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</si>
  <si>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</si>
  <si>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</si>
  <si>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</si>
  <si>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</si>
  <si>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</si>
  <si>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</si>
  <si>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</si>
  <si>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</si>
  <si>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</si>
  <si>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</si>
  <si>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</si>
  <si>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</si>
  <si>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</si>
  <si>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</si>
  <si>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</si>
  <si>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</si>
  <si>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</si>
  <si>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</si>
  <si>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</si>
  <si>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</si>
  <si>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</si>
  <si>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</si>
  <si>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</si>
  <si>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</si>
  <si>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</si>
  <si>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</si>
  <si>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</si>
  <si>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</si>
  <si>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</si>
  <si>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</si>
  <si>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</si>
  <si>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</si>
  <si>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</si>
  <si>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</si>
  <si>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</si>
  <si>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</si>
  <si>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</si>
  <si>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</si>
  <si>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</si>
  <si>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</si>
  <si>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</si>
  <si>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</si>
  <si>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</si>
  <si>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</si>
  <si>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</si>
  <si>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</si>
  <si>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</si>
  <si>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</si>
  <si>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</si>
  <si>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</si>
  <si>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</si>
  <si>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</si>
  <si>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</si>
  <si>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</si>
  <si>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</si>
  <si>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</si>
  <si>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</si>
  <si>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</si>
  <si>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</si>
  <si>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</si>
  <si>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</si>
  <si>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</si>
  <si>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</si>
  <si>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</si>
  <si>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</si>
  <si>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</si>
  <si>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</si>
  <si>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</si>
  <si>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</si>
  <si>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</si>
  <si>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</si>
  <si>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</si>
  <si>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</si>
  <si>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</si>
  <si>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</si>
  <si>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</si>
  <si>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</si>
  <si>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</si>
  <si>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</si>
  <si>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</si>
  <si>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</si>
  <si>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</si>
  <si>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</si>
  <si>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</si>
  <si>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</si>
  <si>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</si>
  <si>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</si>
  <si>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</si>
  <si>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</si>
  <si>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</si>
  <si>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</si>
  <si>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</si>
  <si>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</si>
  <si>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</si>
  <si>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</si>
  <si>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</si>
  <si>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</si>
  <si>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</si>
  <si>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</si>
  <si>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</si>
  <si>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</si>
  <si>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</si>
  <si>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</si>
  <si>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</si>
  <si>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</si>
  <si>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</si>
  <si>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</si>
  <si>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</si>
  <si>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</si>
  <si>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</si>
  <si>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</si>
  <si>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</si>
  <si>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</si>
  <si>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</si>
  <si>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</si>
  <si>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</si>
  <si>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</si>
  <si>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</si>
  <si>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</si>
  <si>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</si>
  <si>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</si>
  <si>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</si>
  <si>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</si>
  <si>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</si>
  <si>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</si>
  <si>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</si>
  <si>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</si>
  <si>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</si>
  <si>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</si>
  <si>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</si>
  <si>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</si>
  <si>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</si>
  <si>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</si>
  <si>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</si>
  <si>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</si>
  <si>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</si>
  <si>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</si>
  <si>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</si>
  <si>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</si>
  <si>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</si>
  <si>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</si>
  <si>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</si>
  <si>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</si>
  <si>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</si>
  <si>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</si>
  <si>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</si>
  <si>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</si>
  <si>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</si>
  <si>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</si>
  <si>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</si>
  <si>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</si>
  <si>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</si>
  <si>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</si>
  <si>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</si>
  <si>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</si>
  <si>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</si>
  <si>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</si>
  <si>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</si>
  <si>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</si>
  <si>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</si>
  <si>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</si>
  <si>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</si>
  <si>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</si>
  <si>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</si>
  <si>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</si>
  <si>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</si>
  <si>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</si>
  <si>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</si>
  <si>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</si>
  <si>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</si>
  <si>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</si>
  <si>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</si>
  <si>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</si>
  <si>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</si>
  <si>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</si>
  <si>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</si>
  <si>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</si>
  <si>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</si>
  <si>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</si>
  <si>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</si>
  <si>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</si>
  <si>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</si>
  <si>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</si>
  <si>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</si>
  <si>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</si>
  <si>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</si>
  <si>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</si>
  <si>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</si>
  <si>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</si>
  <si>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</si>
  <si>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</si>
  <si>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</si>
  <si>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</si>
  <si>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</si>
  <si>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</si>
  <si>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</si>
  <si>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</si>
  <si>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</si>
  <si>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</si>
  <si>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</si>
  <si>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</si>
  <si>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</si>
  <si>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</si>
  <si>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</si>
  <si>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</si>
  <si>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</si>
  <si>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</si>
  <si>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</si>
  <si>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</si>
  <si>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</si>
  <si>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</si>
  <si>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</si>
  <si>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</si>
  <si>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</si>
  <si>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</si>
  <si>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</si>
  <si>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</si>
  <si>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</si>
  <si>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</si>
  <si>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</si>
  <si>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</si>
  <si>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</si>
  <si>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</si>
  <si>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</si>
  <si>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</si>
  <si>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</si>
  <si>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</si>
  <si>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</si>
  <si>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</si>
  <si>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</si>
  <si>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</si>
  <si>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</si>
  <si>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</si>
  <si>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</si>
  <si>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</si>
  <si>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</si>
  <si>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</si>
  <si>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</si>
  <si>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</si>
  <si>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</si>
  <si>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</si>
  <si>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</si>
  <si>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</si>
  <si>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</si>
  <si>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</si>
  <si>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</si>
  <si>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</si>
  <si>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</si>
  <si>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</si>
  <si>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</si>
  <si>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</si>
  <si>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</si>
  <si>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</si>
  <si>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</si>
  <si>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</si>
  <si>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</si>
  <si>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</si>
  <si>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</si>
  <si>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</si>
  <si>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</si>
  <si>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</si>
  <si>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</si>
  <si>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</si>
  <si>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</si>
  <si>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</si>
  <si>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</si>
  <si>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</si>
  <si>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</si>
  <si>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</si>
  <si>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</si>
  <si>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</si>
  <si>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</si>
  <si>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</si>
  <si>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</si>
  <si>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</si>
  <si>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</si>
  <si>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</si>
  <si>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</si>
  <si>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</si>
  <si>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</si>
  <si>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</si>
  <si>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</si>
  <si>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</si>
  <si>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</si>
  <si>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</si>
  <si>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</si>
  <si>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</si>
  <si>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</si>
  <si>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</si>
  <si>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</si>
  <si>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</si>
  <si>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</si>
  <si>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</si>
  <si>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</si>
  <si>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</si>
  <si>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</si>
  <si>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</si>
  <si>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</si>
  <si>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</si>
  <si>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</si>
  <si>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</si>
  <si>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</si>
  <si>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</si>
  <si>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</si>
  <si>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</si>
  <si>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</si>
  <si>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</si>
  <si>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</si>
  <si>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</si>
  <si>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</si>
  <si>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</si>
  <si>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</si>
  <si>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</si>
  <si>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</si>
  <si>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</si>
  <si>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</si>
  <si>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</si>
  <si>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</si>
  <si>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</si>
  <si>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</si>
  <si>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</si>
  <si>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</si>
  <si>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</si>
  <si>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</si>
  <si>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</si>
  <si>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</si>
  <si>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</si>
  <si>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</si>
  <si>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</si>
  <si>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</si>
  <si>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</si>
  <si>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</si>
  <si>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</si>
  <si>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</si>
  <si>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</si>
  <si>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</si>
  <si>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</si>
  <si>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</si>
  <si>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</si>
  <si>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</si>
  <si>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</si>
  <si>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</si>
  <si>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</si>
  <si>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</si>
  <si>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</si>
  <si>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</si>
  <si>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</si>
  <si>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</si>
  <si>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</si>
  <si>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</si>
  <si>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</si>
  <si>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</si>
  <si>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</si>
  <si>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</si>
  <si>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</si>
  <si>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</si>
  <si>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</si>
  <si>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</si>
  <si>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</si>
  <si>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</si>
  <si>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</si>
  <si>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</si>
  <si>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</si>
  <si>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</si>
  <si>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</si>
  <si>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</si>
  <si>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</si>
  <si>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</si>
  <si>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</si>
  <si>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</si>
  <si>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</si>
  <si>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</si>
  <si>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</si>
  <si>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</si>
  <si>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</si>
  <si>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</si>
  <si>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</si>
  <si>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</si>
  <si>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</si>
  <si>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</si>
  <si>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</si>
  <si>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</si>
  <si>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</si>
  <si>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</si>
  <si>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</si>
  <si>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</si>
  <si>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</si>
  <si>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</si>
  <si>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</si>
  <si>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</si>
  <si>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</si>
  <si>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</si>
  <si>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</si>
  <si>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</si>
  <si>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</si>
  <si>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</si>
  <si>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</si>
  <si>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</si>
  <si>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</si>
  <si>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</si>
  <si>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</si>
  <si>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</si>
  <si>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</si>
  <si>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</si>
  <si>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</si>
  <si>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</si>
  <si>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</si>
  <si>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</si>
  <si>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</si>
  <si>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</si>
  <si>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</si>
  <si>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</si>
  <si>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</si>
  <si>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</si>
  <si>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</si>
  <si>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</si>
  <si>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</si>
  <si>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</si>
  <si>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</si>
  <si>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</si>
  <si>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</si>
  <si>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</si>
  <si>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</si>
  <si>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</si>
  <si>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</si>
  <si>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</si>
  <si>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</si>
  <si>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</si>
  <si>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</si>
  <si>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</si>
  <si>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</si>
  <si>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</si>
  <si>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</si>
  <si>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</si>
  <si>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</si>
  <si>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</si>
  <si>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</si>
  <si>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</si>
  <si>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</si>
  <si>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</si>
  <si>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</si>
  <si>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</si>
  <si>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</si>
  <si>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</si>
  <si>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</si>
  <si>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</si>
  <si>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</si>
  <si>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</si>
  <si>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</si>
  <si>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</si>
  <si>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</si>
  <si>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</si>
  <si>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</si>
  <si>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</si>
  <si>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</si>
  <si>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</si>
  <si>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</si>
  <si>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</si>
  <si>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</si>
  <si>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</si>
  <si>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</si>
  <si>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</si>
  <si>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</si>
  <si>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</si>
  <si>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</si>
  <si>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</si>
  <si>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</si>
  <si>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</si>
  <si>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</si>
  <si>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</si>
  <si>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</si>
  <si>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</si>
  <si>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</si>
  <si>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</si>
  <si>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</si>
  <si>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</si>
  <si>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</si>
  <si>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</si>
  <si>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</si>
  <si>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</si>
  <si>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</si>
  <si>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</si>
  <si>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</si>
  <si>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</si>
  <si>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</si>
  <si>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</si>
  <si>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</si>
  <si>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</si>
  <si>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</si>
  <si>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</si>
  <si>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</si>
  <si>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</si>
  <si>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</si>
  <si>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</si>
  <si>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</si>
  <si>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</si>
  <si>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</si>
  <si>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</si>
  <si>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</si>
  <si>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</si>
  <si>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</si>
  <si>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</si>
  <si>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</si>
  <si>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</si>
  <si>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</si>
  <si>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</si>
  <si>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</si>
  <si>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</si>
  <si>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</si>
  <si>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</si>
  <si>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</si>
  <si>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</si>
  <si>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</si>
  <si>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</si>
  <si>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</si>
  <si>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</si>
  <si>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</si>
  <si>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</si>
  <si>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</si>
  <si>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</si>
  <si>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</si>
  <si>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</si>
  <si>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</si>
  <si>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</si>
  <si>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</si>
  <si>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</si>
  <si>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</si>
  <si>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</si>
  <si>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</si>
  <si>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</si>
  <si>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</si>
  <si>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</si>
  <si>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</si>
  <si>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</si>
  <si>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</si>
  <si>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</si>
  <si>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</si>
  <si>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</si>
  <si>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</si>
  <si>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</si>
  <si>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</si>
  <si>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</si>
  <si>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</si>
  <si>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</si>
  <si>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</si>
  <si>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</si>
  <si>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</si>
  <si>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</si>
  <si>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</si>
  <si>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</si>
  <si>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</si>
  <si>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</si>
  <si>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</si>
  <si>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</si>
  <si>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</si>
  <si>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</si>
  <si>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</si>
  <si>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</si>
  <si>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</si>
  <si>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</si>
  <si>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</si>
  <si>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</si>
  <si>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</si>
  <si>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</si>
  <si>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</si>
  <si>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</si>
  <si>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</si>
  <si>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</si>
  <si>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</si>
  <si>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</si>
  <si>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</si>
  <si>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</si>
  <si>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</si>
  <si>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</si>
  <si>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</si>
  <si>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</si>
  <si>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</si>
  <si>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</si>
  <si>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</si>
  <si>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</si>
  <si>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</si>
  <si>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</si>
  <si>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</si>
  <si>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</si>
  <si>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</si>
  <si>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</si>
  <si>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</si>
  <si>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</si>
  <si>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</si>
  <si>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</si>
  <si>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</si>
  <si>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</si>
  <si>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</si>
  <si>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</si>
  <si>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</si>
  <si>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</si>
  <si>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</si>
  <si>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</si>
  <si>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</si>
  <si>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</si>
  <si>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</si>
  <si>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</si>
  <si>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</si>
  <si>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</si>
  <si>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</si>
  <si>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</si>
  <si>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</si>
  <si>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</si>
  <si>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</si>
  <si>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</si>
  <si>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</si>
  <si>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</si>
  <si>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</si>
  <si>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</si>
  <si>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</si>
  <si>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</si>
  <si>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</si>
  <si>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</si>
  <si>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</si>
  <si>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</si>
  <si>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</si>
  <si>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</si>
  <si>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</si>
  <si>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</si>
  <si>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</si>
  <si>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</si>
  <si>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</si>
  <si>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</si>
  <si>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</si>
  <si>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</si>
  <si>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</si>
  <si>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</si>
  <si>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</si>
  <si>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</si>
  <si>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</si>
  <si>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</si>
  <si>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</si>
  <si>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</si>
  <si>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</si>
  <si>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</si>
  <si>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</si>
  <si>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</si>
  <si>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</si>
  <si>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</si>
  <si>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</si>
  <si>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</si>
  <si>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</si>
  <si>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</si>
  <si>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</si>
  <si>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</si>
  <si>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</si>
  <si>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</si>
  <si>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</si>
  <si>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</si>
  <si>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</si>
  <si>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</si>
  <si>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</si>
  <si>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</si>
  <si>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</si>
  <si>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</si>
  <si>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</si>
  <si>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</si>
  <si>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</si>
  <si>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</si>
  <si>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</si>
  <si>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</si>
  <si>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</si>
  <si>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</si>
  <si>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</si>
  <si>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</si>
  <si>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</si>
  <si>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</si>
  <si>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</si>
  <si>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</si>
  <si>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</si>
  <si>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</si>
  <si>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</si>
  <si>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</si>
  <si>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</si>
  <si>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</si>
  <si>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</si>
  <si>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</si>
  <si>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</si>
  <si>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</si>
  <si>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</si>
  <si>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</si>
  <si>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</si>
  <si>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</si>
  <si>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</si>
  <si>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</si>
  <si>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</si>
  <si>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</si>
  <si>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</si>
  <si>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</si>
  <si>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</si>
  <si>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</si>
  <si>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</si>
  <si>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</si>
  <si>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</si>
  <si>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</si>
  <si>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</si>
  <si>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</si>
  <si>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</si>
  <si>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</si>
  <si>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</si>
  <si>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</si>
  <si>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</si>
  <si>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</si>
  <si>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</si>
  <si>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</si>
  <si>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</si>
  <si>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</si>
  <si>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</si>
  <si>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</si>
  <si>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</si>
  <si>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</si>
  <si>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</si>
  <si>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</si>
  <si>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</si>
  <si>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</si>
  <si>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</si>
  <si>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</si>
  <si>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</si>
  <si>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</si>
  <si>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</si>
  <si>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</si>
  <si>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</si>
  <si>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</si>
  <si>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</si>
  <si>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</si>
  <si>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</si>
  <si>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</si>
  <si>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</si>
  <si>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</si>
  <si>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</si>
  <si>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</si>
  <si>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</si>
  <si>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</si>
  <si>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</si>
  <si>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</si>
  <si>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</si>
  <si>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</si>
  <si>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</si>
  <si>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</si>
  <si>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</si>
  <si>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</si>
  <si>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</si>
  <si>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</si>
  <si>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</si>
  <si>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</si>
  <si>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</si>
  <si>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</si>
  <si>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</si>
  <si>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</si>
  <si>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</si>
  <si>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</si>
  <si>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</si>
  <si>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</si>
  <si>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</si>
  <si>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</si>
  <si>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</si>
  <si>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</si>
  <si>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</si>
  <si>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</si>
  <si>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</si>
  <si>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</si>
  <si>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</si>
  <si>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</si>
  <si>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</si>
  <si>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</si>
  <si>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</si>
  <si>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</si>
  <si>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</si>
  <si>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</si>
  <si>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</si>
  <si>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</si>
  <si>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</si>
  <si>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</si>
  <si>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</si>
  <si>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</si>
  <si>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</si>
  <si>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</si>
  <si>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</si>
  <si>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</si>
  <si>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</si>
  <si>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</si>
  <si>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</si>
  <si>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</si>
  <si>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</si>
  <si>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</si>
  <si>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</si>
  <si>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</si>
  <si>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</si>
  <si>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</si>
  <si>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</si>
  <si>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</si>
  <si>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</si>
  <si>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</si>
  <si>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</si>
  <si>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</si>
  <si>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</si>
  <si>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</si>
  <si>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</si>
  <si>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</si>
  <si>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</si>
  <si>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</si>
  <si>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</si>
  <si>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</si>
  <si>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</si>
  <si>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</si>
  <si>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</si>
  <si>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</si>
  <si>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</si>
  <si>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</si>
  <si>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</si>
  <si>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</si>
  <si>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</si>
  <si>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</si>
  <si>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</si>
  <si>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</si>
  <si>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</si>
  <si>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</si>
  <si>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</si>
  <si>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</si>
  <si>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</si>
  <si>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</si>
  <si>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</si>
  <si>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</si>
  <si>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</si>
  <si>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</si>
  <si>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</si>
  <si>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</si>
  <si>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</si>
  <si>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</si>
  <si>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</si>
  <si>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</si>
  <si>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</si>
  <si>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</si>
  <si>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</si>
  <si>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</si>
  <si>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</si>
  <si>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</si>
  <si>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</si>
  <si>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</si>
  <si>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</si>
  <si>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</si>
  <si>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</si>
  <si>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</si>
  <si>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</si>
  <si>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</si>
  <si>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</si>
  <si>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</si>
  <si>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</si>
  <si>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</si>
  <si>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</si>
  <si>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</si>
  <si>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</si>
  <si>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</si>
  <si>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</si>
  <si>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</si>
  <si>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</si>
  <si>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</si>
  <si>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</si>
  <si>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</si>
  <si>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</si>
  <si>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</si>
  <si>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</si>
  <si>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</si>
  <si>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</si>
  <si>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</si>
  <si>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</si>
  <si>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</si>
  <si>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</si>
  <si>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</si>
  <si>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</si>
  <si>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</si>
  <si>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</si>
  <si>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</si>
  <si>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</si>
  <si>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</si>
  <si>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</si>
  <si>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</si>
  <si>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</si>
  <si>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وصنعت</t>
  </si>
  <si>
    <t>وسبحان</t>
  </si>
  <si>
    <t xml:space="preserve">بدهی سارا به صندوق </t>
  </si>
  <si>
    <t>13/10/1397</t>
  </si>
  <si>
    <t>15/10/1397</t>
  </si>
  <si>
    <t>دکتر</t>
  </si>
  <si>
    <t>18/10/1397</t>
  </si>
  <si>
    <t>1121-1251</t>
  </si>
  <si>
    <t>1864-1914</t>
  </si>
  <si>
    <t>وغدیر 8695 تا 190.3 (انتقالی از حساب داریوش)</t>
  </si>
  <si>
    <t>19/10/1397</t>
  </si>
  <si>
    <t>سکه9912 تعداد 30 قیمت 395600</t>
  </si>
  <si>
    <t>گوشی از دیجی کالا</t>
  </si>
  <si>
    <t>pricr</t>
  </si>
  <si>
    <t>price/NAV</t>
  </si>
  <si>
    <t>NAV</t>
  </si>
  <si>
    <t>وتوصا</t>
  </si>
  <si>
    <t>نکات</t>
  </si>
  <si>
    <t>حدود 51 درصد وصنعت برای وتوصاست</t>
  </si>
  <si>
    <t>حدود 67 درصد پارسیان برای وغدیر است</t>
  </si>
  <si>
    <t>22/10/1397</t>
  </si>
  <si>
    <t>وغدیر 13000 تا 174.9</t>
  </si>
  <si>
    <t>طلب از رضا 22/10/97</t>
  </si>
  <si>
    <t>دو به رضا و 10 مقدی</t>
  </si>
  <si>
    <t>به رضا 22/10</t>
  </si>
  <si>
    <t>دو به رضا و 10 نقد</t>
  </si>
  <si>
    <t>22/10/1397  15:12</t>
  </si>
  <si>
    <t>23/10/1397</t>
  </si>
  <si>
    <t>زدشت 339 تا 195</t>
  </si>
  <si>
    <t>زدشت</t>
  </si>
  <si>
    <t>وغدیر 23000 تا 173</t>
  </si>
  <si>
    <t>زدشت 338 تا 195</t>
  </si>
  <si>
    <t>شاراک 1 تا 4418</t>
  </si>
  <si>
    <t>1760-191.5</t>
  </si>
  <si>
    <t>وغدیر 6000 تا 171.2</t>
  </si>
  <si>
    <t>مبین</t>
  </si>
  <si>
    <t>مبین 3543 تا 749 (تشویقی)</t>
  </si>
  <si>
    <t>21/10/1397</t>
  </si>
  <si>
    <t>20/10/1397</t>
  </si>
  <si>
    <t>وغدیر 3300 تا 175 اصلاح اشتباهای قبلی</t>
  </si>
  <si>
    <t>25/10/1397</t>
  </si>
  <si>
    <t>کارشناسی سکه مریم</t>
  </si>
  <si>
    <t>وغدیر 73087 تا 172.1</t>
  </si>
  <si>
    <t>وغدیر 976 تا 172.2</t>
  </si>
  <si>
    <t>تعداد 71 عدد سکه در بورس علی و 50 سکه در بورس مریم متعلق به صندوق نیست</t>
  </si>
  <si>
    <t>شفا</t>
  </si>
  <si>
    <t>وبهمن</t>
  </si>
  <si>
    <t>وسکاب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</si>
</sst>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5" borderId="1" xfId="0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9" workbookViewId="0">
      <selection activeCell="F28" sqref="F2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4607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4609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4611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4622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4626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4628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>
        <v>-2010700</v>
      </c>
      <c r="C23" s="18">
        <v>0</v>
      </c>
      <c r="D23" s="113">
        <f t="shared" si="0"/>
        <v>-2010700</v>
      </c>
      <c r="E23" s="19" t="s">
        <v>4639</v>
      </c>
      <c r="F23" s="96">
        <v>9</v>
      </c>
      <c r="G23" s="96">
        <f t="shared" si="1"/>
        <v>-18096300</v>
      </c>
      <c r="H23" s="96">
        <f t="shared" si="2"/>
        <v>0</v>
      </c>
      <c r="I23" s="96">
        <f t="shared" si="3"/>
        <v>-18096300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4636</v>
      </c>
      <c r="B24" s="18">
        <v>-4000000</v>
      </c>
      <c r="C24" s="18">
        <v>0</v>
      </c>
      <c r="D24" s="113">
        <f t="shared" si="0"/>
        <v>-4000000</v>
      </c>
      <c r="E24" s="19" t="s">
        <v>3771</v>
      </c>
      <c r="F24" s="96">
        <v>9</v>
      </c>
      <c r="G24" s="96">
        <f t="shared" si="1"/>
        <v>-36000000</v>
      </c>
      <c r="H24" s="96">
        <f t="shared" si="2"/>
        <v>0</v>
      </c>
      <c r="I24" s="96">
        <f t="shared" si="3"/>
        <v>-36000000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4643</v>
      </c>
      <c r="B25" s="18">
        <v>-5700000</v>
      </c>
      <c r="C25" s="18">
        <v>0</v>
      </c>
      <c r="D25" s="113">
        <f t="shared" si="0"/>
        <v>-5700000</v>
      </c>
      <c r="E25" s="19" t="s">
        <v>3771</v>
      </c>
      <c r="F25" s="96">
        <v>8</v>
      </c>
      <c r="G25" s="96">
        <f t="shared" si="1"/>
        <v>-45600000</v>
      </c>
      <c r="H25" s="96">
        <f t="shared" si="2"/>
        <v>0</v>
      </c>
      <c r="I25" s="96">
        <f t="shared" si="3"/>
        <v>-45600000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4656</v>
      </c>
      <c r="B26" s="18">
        <v>8000000</v>
      </c>
      <c r="C26" s="18">
        <v>0</v>
      </c>
      <c r="D26" s="113">
        <f t="shared" si="0"/>
        <v>8000000</v>
      </c>
      <c r="E26" s="19" t="s">
        <v>3892</v>
      </c>
      <c r="F26" s="96">
        <v>5</v>
      </c>
      <c r="G26" s="96">
        <f t="shared" si="1"/>
        <v>40000000</v>
      </c>
      <c r="H26" s="96">
        <f t="shared" si="2"/>
        <v>0</v>
      </c>
      <c r="I26" s="96">
        <f t="shared" si="3"/>
        <v>40000000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3692</v>
      </c>
      <c r="B27" s="18">
        <v>-8000000</v>
      </c>
      <c r="C27" s="18">
        <v>0</v>
      </c>
      <c r="D27" s="113">
        <f t="shared" si="0"/>
        <v>-8000000</v>
      </c>
      <c r="E27" s="19" t="s">
        <v>3771</v>
      </c>
      <c r="F27" s="96">
        <v>5</v>
      </c>
      <c r="G27" s="96">
        <f t="shared" si="1"/>
        <v>-40000000</v>
      </c>
      <c r="H27" s="96">
        <f t="shared" si="2"/>
        <v>0</v>
      </c>
      <c r="I27" s="96">
        <f t="shared" si="3"/>
        <v>-40000000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4539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4539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4539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6728665</v>
      </c>
      <c r="C32" s="113">
        <f>SUM(C2:C31)</f>
        <v>0</v>
      </c>
      <c r="D32" s="113">
        <f>SUM(D2:D31)</f>
        <v>6728665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352191040</v>
      </c>
      <c r="H33" s="18">
        <f>SUM(H2:H31)</f>
        <v>0</v>
      </c>
      <c r="I33" s="18">
        <f>SUM(I2:I31)</f>
        <v>352191040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>
        <v>2010700</v>
      </c>
      <c r="E46" s="122" t="s">
        <v>4640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>
        <v>-60000</v>
      </c>
      <c r="E47" s="122" t="s">
        <v>4657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3112403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zoomScaleNormal="100" workbookViewId="0">
      <pane ySplit="1" topLeftCell="A272" activePane="bottomLeft" state="frozen"/>
      <selection pane="bottomLeft" activeCell="F291" sqref="F291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1012</v>
      </c>
      <c r="H2" s="36">
        <f>IF(B2&gt;0,1,0)</f>
        <v>1</v>
      </c>
      <c r="I2" s="11">
        <f>B2*(G2-H2)</f>
        <v>16883700</v>
      </c>
      <c r="J2" s="53">
        <f>C2*(G2-H2)</f>
        <v>16883700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1011</v>
      </c>
      <c r="H3" s="36">
        <f t="shared" ref="H3:H66" si="2">IF(B3&gt;0,1,0)</f>
        <v>1</v>
      </c>
      <c r="I3" s="11">
        <f t="shared" ref="I3:I66" si="3">B3*(G3-H3)</f>
        <v>20099000000</v>
      </c>
      <c r="J3" s="53">
        <f t="shared" ref="J3:J66" si="4">C3*(G3-H3)</f>
        <v>11500870000</v>
      </c>
      <c r="K3" s="53">
        <f t="shared" ref="K3:K66" si="5">D3*(G3-H3)</f>
        <v>8598130000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1011</v>
      </c>
      <c r="H4" s="36">
        <f t="shared" si="2"/>
        <v>0</v>
      </c>
      <c r="I4" s="11">
        <f t="shared" si="3"/>
        <v>0</v>
      </c>
      <c r="J4" s="53">
        <f t="shared" si="4"/>
        <v>8593500</v>
      </c>
      <c r="K4" s="53">
        <f t="shared" si="5"/>
        <v>-8593500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1009</v>
      </c>
      <c r="H5" s="36">
        <f t="shared" si="2"/>
        <v>1</v>
      </c>
      <c r="I5" s="11">
        <f t="shared" si="3"/>
        <v>2016000000</v>
      </c>
      <c r="J5" s="53">
        <f t="shared" si="4"/>
        <v>0</v>
      </c>
      <c r="K5" s="53">
        <f t="shared" si="5"/>
        <v>2016000000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1002</v>
      </c>
      <c r="H6" s="36">
        <f t="shared" si="2"/>
        <v>0</v>
      </c>
      <c r="I6" s="11">
        <f t="shared" si="3"/>
        <v>-5010000</v>
      </c>
      <c r="J6" s="53">
        <f t="shared" si="4"/>
        <v>0</v>
      </c>
      <c r="K6" s="53">
        <f t="shared" si="5"/>
        <v>-5010000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998</v>
      </c>
      <c r="H7" s="36">
        <f t="shared" si="2"/>
        <v>0</v>
      </c>
      <c r="I7" s="11">
        <f t="shared" si="3"/>
        <v>-1198099000</v>
      </c>
      <c r="J7" s="53">
        <f t="shared" si="4"/>
        <v>0</v>
      </c>
      <c r="K7" s="53">
        <f t="shared" si="5"/>
        <v>-1198099000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997</v>
      </c>
      <c r="H8" s="36">
        <f t="shared" si="2"/>
        <v>0</v>
      </c>
      <c r="I8" s="11">
        <f t="shared" si="3"/>
        <v>-199400000</v>
      </c>
      <c r="J8" s="53">
        <f t="shared" si="4"/>
        <v>0</v>
      </c>
      <c r="K8" s="53">
        <f t="shared" si="5"/>
        <v>-199400000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995</v>
      </c>
      <c r="H9" s="36">
        <f t="shared" si="2"/>
        <v>0</v>
      </c>
      <c r="I9" s="11">
        <f t="shared" si="3"/>
        <v>-701972500</v>
      </c>
      <c r="J9" s="53">
        <f t="shared" si="4"/>
        <v>0</v>
      </c>
      <c r="K9" s="53">
        <f t="shared" si="5"/>
        <v>-701972500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986</v>
      </c>
      <c r="H10" s="36">
        <f t="shared" si="2"/>
        <v>0</v>
      </c>
      <c r="I10" s="11">
        <f t="shared" si="3"/>
        <v>-197200000</v>
      </c>
      <c r="J10" s="53">
        <f t="shared" si="4"/>
        <v>0</v>
      </c>
      <c r="K10" s="53">
        <f t="shared" si="5"/>
        <v>-197200000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986</v>
      </c>
      <c r="H11" s="36">
        <f t="shared" si="2"/>
        <v>1</v>
      </c>
      <c r="I11" s="11">
        <f t="shared" si="3"/>
        <v>985000000</v>
      </c>
      <c r="J11" s="53">
        <f t="shared" si="4"/>
        <v>0</v>
      </c>
      <c r="K11" s="53">
        <f t="shared" si="5"/>
        <v>985000000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982</v>
      </c>
      <c r="H12" s="36">
        <f t="shared" si="2"/>
        <v>0</v>
      </c>
      <c r="I12" s="11">
        <f t="shared" si="3"/>
        <v>-294600000</v>
      </c>
      <c r="J12" s="53">
        <f t="shared" si="4"/>
        <v>0</v>
      </c>
      <c r="K12" s="53">
        <f t="shared" si="5"/>
        <v>-294600000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977</v>
      </c>
      <c r="H13" s="36">
        <f t="shared" si="2"/>
        <v>0</v>
      </c>
      <c r="I13" s="11">
        <f t="shared" si="3"/>
        <v>-60574000</v>
      </c>
      <c r="J13" s="53">
        <f t="shared" si="4"/>
        <v>0</v>
      </c>
      <c r="K13" s="53">
        <f t="shared" si="5"/>
        <v>-60574000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977</v>
      </c>
      <c r="H14" s="36">
        <f t="shared" si="2"/>
        <v>1</v>
      </c>
      <c r="I14" s="11">
        <f t="shared" si="3"/>
        <v>1952000000</v>
      </c>
      <c r="J14" s="53">
        <f t="shared" si="4"/>
        <v>0</v>
      </c>
      <c r="K14" s="53">
        <f t="shared" si="5"/>
        <v>1952000000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976</v>
      </c>
      <c r="H15" s="36">
        <f t="shared" si="2"/>
        <v>1</v>
      </c>
      <c r="I15" s="11">
        <f t="shared" si="3"/>
        <v>1755000000</v>
      </c>
      <c r="J15" s="53">
        <f t="shared" si="4"/>
        <v>0</v>
      </c>
      <c r="K15" s="53">
        <f t="shared" si="5"/>
        <v>1755000000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976</v>
      </c>
      <c r="H16" s="36">
        <f t="shared" si="2"/>
        <v>0</v>
      </c>
      <c r="I16" s="11">
        <f t="shared" si="3"/>
        <v>-195200000</v>
      </c>
      <c r="J16" s="53">
        <f t="shared" si="4"/>
        <v>0</v>
      </c>
      <c r="K16" s="53">
        <f t="shared" si="5"/>
        <v>-195200000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972</v>
      </c>
      <c r="H17" s="36">
        <f t="shared" si="2"/>
        <v>0</v>
      </c>
      <c r="I17" s="11">
        <f t="shared" si="3"/>
        <v>-1944000000</v>
      </c>
      <c r="J17" s="53">
        <f t="shared" si="4"/>
        <v>0</v>
      </c>
      <c r="K17" s="53">
        <f t="shared" si="5"/>
        <v>-1944000000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971</v>
      </c>
      <c r="H18" s="36">
        <f t="shared" si="2"/>
        <v>0</v>
      </c>
      <c r="I18" s="11">
        <f t="shared" si="3"/>
        <v>-291300000</v>
      </c>
      <c r="J18" s="53">
        <f t="shared" si="4"/>
        <v>0</v>
      </c>
      <c r="K18" s="53">
        <f t="shared" si="5"/>
        <v>-291300000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970</v>
      </c>
      <c r="H19" s="36">
        <f t="shared" si="2"/>
        <v>0</v>
      </c>
      <c r="I19" s="11">
        <f t="shared" si="3"/>
        <v>-194000000</v>
      </c>
      <c r="J19" s="53">
        <f t="shared" si="4"/>
        <v>0</v>
      </c>
      <c r="K19" s="53">
        <f t="shared" si="5"/>
        <v>-194000000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968</v>
      </c>
      <c r="H20" s="36">
        <f t="shared" si="2"/>
        <v>1</v>
      </c>
      <c r="I20" s="11">
        <f t="shared" si="3"/>
        <v>262143063</v>
      </c>
      <c r="J20" s="53">
        <f t="shared" si="4"/>
        <v>142586084</v>
      </c>
      <c r="K20" s="53">
        <f t="shared" si="5"/>
        <v>119556979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966</v>
      </c>
      <c r="H21" s="36">
        <f t="shared" si="2"/>
        <v>0</v>
      </c>
      <c r="I21" s="11">
        <f t="shared" si="3"/>
        <v>-1454506200</v>
      </c>
      <c r="J21" s="53">
        <f t="shared" si="4"/>
        <v>0</v>
      </c>
      <c r="K21" s="53">
        <f t="shared" si="5"/>
        <v>-1454506200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963</v>
      </c>
      <c r="H22" s="36">
        <f t="shared" si="2"/>
        <v>1</v>
      </c>
      <c r="I22" s="11">
        <f t="shared" si="3"/>
        <v>2886000000</v>
      </c>
      <c r="J22" s="53">
        <f t="shared" si="4"/>
        <v>0</v>
      </c>
      <c r="K22" s="53">
        <f t="shared" si="5"/>
        <v>2886000000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962</v>
      </c>
      <c r="H23" s="36">
        <f t="shared" si="2"/>
        <v>1</v>
      </c>
      <c r="I23" s="11">
        <f t="shared" si="3"/>
        <v>961000000</v>
      </c>
      <c r="J23" s="53">
        <f t="shared" si="4"/>
        <v>0</v>
      </c>
      <c r="K23" s="53">
        <f t="shared" si="5"/>
        <v>961000000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961</v>
      </c>
      <c r="H24" s="36">
        <f t="shared" si="2"/>
        <v>0</v>
      </c>
      <c r="I24" s="11">
        <f t="shared" si="3"/>
        <v>-2883864900</v>
      </c>
      <c r="J24" s="53">
        <f t="shared" si="4"/>
        <v>0</v>
      </c>
      <c r="K24" s="53">
        <f t="shared" si="5"/>
        <v>-2883864900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946</v>
      </c>
      <c r="H25" s="36">
        <f t="shared" si="2"/>
        <v>1</v>
      </c>
      <c r="I25" s="11">
        <f t="shared" si="3"/>
        <v>1417500000</v>
      </c>
      <c r="J25" s="53">
        <f t="shared" si="4"/>
        <v>0</v>
      </c>
      <c r="K25" s="53">
        <f t="shared" si="5"/>
        <v>1417500000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938</v>
      </c>
      <c r="H26" s="36">
        <f t="shared" si="2"/>
        <v>0</v>
      </c>
      <c r="I26" s="11">
        <f t="shared" si="3"/>
        <v>-153832000</v>
      </c>
      <c r="J26" s="53">
        <f t="shared" si="4"/>
        <v>0</v>
      </c>
      <c r="K26" s="53">
        <f t="shared" si="5"/>
        <v>-153832000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937</v>
      </c>
      <c r="H27" s="36">
        <f t="shared" si="2"/>
        <v>1</v>
      </c>
      <c r="I27" s="11">
        <f t="shared" si="3"/>
        <v>186631848</v>
      </c>
      <c r="J27" s="53">
        <f t="shared" si="4"/>
        <v>100538568</v>
      </c>
      <c r="K27" s="53">
        <f t="shared" si="5"/>
        <v>86093280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935</v>
      </c>
      <c r="H28" s="36">
        <f t="shared" si="2"/>
        <v>0</v>
      </c>
      <c r="I28" s="11">
        <f t="shared" si="3"/>
        <v>-206635000</v>
      </c>
      <c r="J28" s="53">
        <f t="shared" si="4"/>
        <v>-206635000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935</v>
      </c>
      <c r="H29" s="36">
        <f t="shared" si="2"/>
        <v>0</v>
      </c>
      <c r="I29" s="11">
        <f t="shared" si="3"/>
        <v>-467967500</v>
      </c>
      <c r="J29" s="53">
        <f t="shared" si="4"/>
        <v>0</v>
      </c>
      <c r="K29" s="53">
        <f t="shared" si="5"/>
        <v>-467967500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935</v>
      </c>
      <c r="H30" s="36">
        <f t="shared" si="2"/>
        <v>0</v>
      </c>
      <c r="I30" s="11">
        <f t="shared" si="3"/>
        <v>-14025000000</v>
      </c>
      <c r="J30" s="53">
        <f t="shared" si="4"/>
        <v>-14025000000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918</v>
      </c>
      <c r="H31" s="36">
        <f t="shared" si="2"/>
        <v>0</v>
      </c>
      <c r="I31" s="11">
        <f t="shared" si="3"/>
        <v>-2764006200</v>
      </c>
      <c r="J31" s="53">
        <f t="shared" si="4"/>
        <v>0</v>
      </c>
      <c r="K31" s="53">
        <f t="shared" si="5"/>
        <v>-2764006200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916</v>
      </c>
      <c r="H32" s="36">
        <f t="shared" si="2"/>
        <v>0</v>
      </c>
      <c r="I32" s="11">
        <f t="shared" si="3"/>
        <v>-2753404400</v>
      </c>
      <c r="J32" s="53">
        <f t="shared" si="4"/>
        <v>0</v>
      </c>
      <c r="K32" s="53">
        <f t="shared" si="5"/>
        <v>-2753404400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915</v>
      </c>
      <c r="H33" s="36">
        <f t="shared" si="2"/>
        <v>0</v>
      </c>
      <c r="I33" s="11">
        <f t="shared" si="3"/>
        <v>-819382500</v>
      </c>
      <c r="J33" s="53">
        <f t="shared" si="4"/>
        <v>0</v>
      </c>
      <c r="K33" s="53">
        <f t="shared" si="5"/>
        <v>-819382500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915</v>
      </c>
      <c r="H34" s="36">
        <f t="shared" si="2"/>
        <v>0</v>
      </c>
      <c r="I34" s="11">
        <f t="shared" si="3"/>
        <v>0</v>
      </c>
      <c r="J34" s="53">
        <f t="shared" si="4"/>
        <v>915000000</v>
      </c>
      <c r="K34" s="53">
        <f t="shared" si="5"/>
        <v>-915000000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906</v>
      </c>
      <c r="H35" s="36">
        <f t="shared" si="2"/>
        <v>1</v>
      </c>
      <c r="I35" s="11">
        <f t="shared" si="3"/>
        <v>47487160</v>
      </c>
      <c r="J35" s="53">
        <f t="shared" si="4"/>
        <v>-19605015</v>
      </c>
      <c r="K35" s="53">
        <f t="shared" si="5"/>
        <v>67092175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906</v>
      </c>
      <c r="H36" s="36">
        <f t="shared" si="2"/>
        <v>0</v>
      </c>
      <c r="I36" s="11">
        <f t="shared" si="3"/>
        <v>0</v>
      </c>
      <c r="J36" s="53">
        <f t="shared" si="4"/>
        <v>19626678</v>
      </c>
      <c r="K36" s="53">
        <f t="shared" si="5"/>
        <v>-19626678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896</v>
      </c>
      <c r="H37" s="36">
        <f t="shared" si="2"/>
        <v>0</v>
      </c>
      <c r="I37" s="11">
        <f t="shared" si="3"/>
        <v>-49280000</v>
      </c>
      <c r="J37" s="53">
        <f t="shared" si="4"/>
        <v>0</v>
      </c>
      <c r="K37" s="53">
        <f t="shared" si="5"/>
        <v>-49280000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895</v>
      </c>
      <c r="H38" s="36">
        <f t="shared" si="2"/>
        <v>1</v>
      </c>
      <c r="I38" s="11">
        <f t="shared" si="3"/>
        <v>2682000000</v>
      </c>
      <c r="J38" s="53">
        <f t="shared" si="4"/>
        <v>2682000000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894</v>
      </c>
      <c r="H39" s="36">
        <f t="shared" si="2"/>
        <v>1</v>
      </c>
      <c r="I39" s="11">
        <f t="shared" si="3"/>
        <v>2232500000</v>
      </c>
      <c r="J39" s="53">
        <f t="shared" si="4"/>
        <v>2232500000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894</v>
      </c>
      <c r="H40" s="36">
        <f t="shared" si="2"/>
        <v>0</v>
      </c>
      <c r="I40" s="11">
        <f t="shared" si="3"/>
        <v>-44700000</v>
      </c>
      <c r="J40" s="53">
        <f t="shared" si="4"/>
        <v>0</v>
      </c>
      <c r="K40" s="53">
        <f t="shared" si="5"/>
        <v>-44700000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894</v>
      </c>
      <c r="H41" s="36">
        <f t="shared" si="2"/>
        <v>1</v>
      </c>
      <c r="I41" s="11">
        <f t="shared" si="3"/>
        <v>2679000000</v>
      </c>
      <c r="J41" s="53">
        <f t="shared" si="4"/>
        <v>0</v>
      </c>
      <c r="K41" s="53">
        <f t="shared" si="5"/>
        <v>2679000000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891</v>
      </c>
      <c r="H42" s="36">
        <f t="shared" si="2"/>
        <v>0</v>
      </c>
      <c r="I42" s="11">
        <f t="shared" si="3"/>
        <v>-79477200</v>
      </c>
      <c r="J42" s="53">
        <f t="shared" si="4"/>
        <v>0</v>
      </c>
      <c r="K42" s="53">
        <f t="shared" si="5"/>
        <v>-79477200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887</v>
      </c>
      <c r="H43" s="36">
        <f t="shared" si="2"/>
        <v>0</v>
      </c>
      <c r="I43" s="11">
        <f t="shared" si="3"/>
        <v>-177400000</v>
      </c>
      <c r="J43" s="53">
        <f t="shared" si="4"/>
        <v>0</v>
      </c>
      <c r="K43" s="53">
        <f t="shared" si="5"/>
        <v>-177400000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885</v>
      </c>
      <c r="H44" s="36">
        <f t="shared" si="2"/>
        <v>0</v>
      </c>
      <c r="I44" s="11">
        <f t="shared" si="3"/>
        <v>-177000000</v>
      </c>
      <c r="J44" s="53">
        <f t="shared" si="4"/>
        <v>0</v>
      </c>
      <c r="K44" s="53">
        <f t="shared" si="5"/>
        <v>-177000000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885</v>
      </c>
      <c r="H45" s="36">
        <f t="shared" si="2"/>
        <v>0</v>
      </c>
      <c r="I45" s="11">
        <f t="shared" si="3"/>
        <v>-495600000</v>
      </c>
      <c r="J45" s="53">
        <f t="shared" si="4"/>
        <v>0</v>
      </c>
      <c r="K45" s="53">
        <f t="shared" si="5"/>
        <v>-495600000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881</v>
      </c>
      <c r="H46" s="36">
        <f t="shared" si="2"/>
        <v>0</v>
      </c>
      <c r="I46" s="11">
        <f t="shared" si="3"/>
        <v>-621545500</v>
      </c>
      <c r="J46" s="53">
        <f t="shared" si="4"/>
        <v>0</v>
      </c>
      <c r="K46" s="53">
        <f t="shared" si="5"/>
        <v>-621545500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875</v>
      </c>
      <c r="H47" s="36">
        <f t="shared" si="2"/>
        <v>1</v>
      </c>
      <c r="I47" s="11">
        <f t="shared" si="3"/>
        <v>36012296</v>
      </c>
      <c r="J47" s="53">
        <f t="shared" si="4"/>
        <v>5867162</v>
      </c>
      <c r="K47" s="53">
        <f t="shared" si="5"/>
        <v>30145134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875</v>
      </c>
      <c r="H48" s="36">
        <f t="shared" si="2"/>
        <v>1</v>
      </c>
      <c r="I48" s="11">
        <f t="shared" si="3"/>
        <v>1489907800</v>
      </c>
      <c r="J48" s="53">
        <f t="shared" si="4"/>
        <v>0</v>
      </c>
      <c r="K48" s="53">
        <f t="shared" si="5"/>
        <v>1489907800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866</v>
      </c>
      <c r="H49" s="36">
        <f t="shared" si="2"/>
        <v>0</v>
      </c>
      <c r="I49" s="11">
        <f t="shared" si="3"/>
        <v>-134230000</v>
      </c>
      <c r="J49" s="53">
        <f t="shared" si="4"/>
        <v>0</v>
      </c>
      <c r="K49" s="53">
        <f t="shared" si="5"/>
        <v>-134230000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866</v>
      </c>
      <c r="H50" s="36">
        <f t="shared" si="2"/>
        <v>0</v>
      </c>
      <c r="I50" s="11">
        <f t="shared" si="3"/>
        <v>-119508000</v>
      </c>
      <c r="J50" s="53">
        <f t="shared" si="4"/>
        <v>0</v>
      </c>
      <c r="K50" s="53">
        <f t="shared" si="5"/>
        <v>-119508000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866</v>
      </c>
      <c r="H51" s="36">
        <f t="shared" si="2"/>
        <v>0</v>
      </c>
      <c r="I51" s="11">
        <f t="shared" si="3"/>
        <v>-640840000</v>
      </c>
      <c r="J51" s="53">
        <f t="shared" si="4"/>
        <v>0</v>
      </c>
      <c r="K51" s="53">
        <f t="shared" si="5"/>
        <v>-640840000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866</v>
      </c>
      <c r="H52" s="36">
        <f t="shared" si="2"/>
        <v>0</v>
      </c>
      <c r="I52" s="11">
        <f t="shared" si="3"/>
        <v>-173200000</v>
      </c>
      <c r="J52" s="53">
        <f t="shared" si="4"/>
        <v>0</v>
      </c>
      <c r="K52" s="53">
        <f t="shared" si="5"/>
        <v>-173200000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865</v>
      </c>
      <c r="H53" s="36">
        <f t="shared" si="2"/>
        <v>0</v>
      </c>
      <c r="I53" s="11">
        <f t="shared" si="3"/>
        <v>-912575000</v>
      </c>
      <c r="J53" s="53">
        <f t="shared" si="4"/>
        <v>0</v>
      </c>
      <c r="K53" s="53">
        <f t="shared" si="5"/>
        <v>-912575000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865</v>
      </c>
      <c r="H54" s="36">
        <f t="shared" si="2"/>
        <v>0</v>
      </c>
      <c r="I54" s="11">
        <f t="shared" si="3"/>
        <v>-173000000</v>
      </c>
      <c r="J54" s="53">
        <f t="shared" si="4"/>
        <v>0</v>
      </c>
      <c r="K54" s="53">
        <f t="shared" si="5"/>
        <v>-173000000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865</v>
      </c>
      <c r="H55" s="36">
        <f t="shared" si="2"/>
        <v>0</v>
      </c>
      <c r="I55" s="11">
        <f t="shared" si="3"/>
        <v>-865432500</v>
      </c>
      <c r="J55" s="53">
        <f t="shared" si="4"/>
        <v>0</v>
      </c>
      <c r="K55" s="53">
        <f t="shared" si="5"/>
        <v>-865432500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865</v>
      </c>
      <c r="H56" s="36">
        <f t="shared" si="2"/>
        <v>0</v>
      </c>
      <c r="I56" s="11">
        <f t="shared" si="3"/>
        <v>-32870000</v>
      </c>
      <c r="J56" s="53">
        <f t="shared" si="4"/>
        <v>0</v>
      </c>
      <c r="K56" s="53">
        <f t="shared" si="5"/>
        <v>-32870000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865</v>
      </c>
      <c r="H57" s="36">
        <f t="shared" si="2"/>
        <v>0</v>
      </c>
      <c r="I57" s="11">
        <f t="shared" si="3"/>
        <v>-90825000</v>
      </c>
      <c r="J57" s="53">
        <f t="shared" si="4"/>
        <v>0</v>
      </c>
      <c r="K57" s="53">
        <f t="shared" si="5"/>
        <v>-90825000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865</v>
      </c>
      <c r="H58" s="36">
        <f t="shared" si="2"/>
        <v>0</v>
      </c>
      <c r="I58" s="11">
        <f t="shared" si="3"/>
        <v>-51900000</v>
      </c>
      <c r="J58" s="53">
        <f t="shared" si="4"/>
        <v>0</v>
      </c>
      <c r="K58" s="53">
        <f t="shared" si="5"/>
        <v>-51900000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862</v>
      </c>
      <c r="H59" s="36">
        <f t="shared" si="2"/>
        <v>1</v>
      </c>
      <c r="I59" s="11">
        <f t="shared" si="3"/>
        <v>861000000</v>
      </c>
      <c r="J59" s="53">
        <f t="shared" si="4"/>
        <v>861000000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861</v>
      </c>
      <c r="H60" s="36">
        <f t="shared" si="2"/>
        <v>1</v>
      </c>
      <c r="I60" s="11">
        <f t="shared" si="3"/>
        <v>3010000000</v>
      </c>
      <c r="J60" s="53">
        <f t="shared" si="4"/>
        <v>3010000000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859</v>
      </c>
      <c r="H61" s="36">
        <f t="shared" si="2"/>
        <v>1</v>
      </c>
      <c r="I61" s="11">
        <f t="shared" si="3"/>
        <v>858000000</v>
      </c>
      <c r="J61" s="53">
        <f t="shared" si="4"/>
        <v>858000000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859</v>
      </c>
      <c r="H62" s="36">
        <f t="shared" si="2"/>
        <v>1</v>
      </c>
      <c r="I62" s="11">
        <f t="shared" si="3"/>
        <v>2574000000</v>
      </c>
      <c r="J62" s="53">
        <f t="shared" si="4"/>
        <v>2574000000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857</v>
      </c>
      <c r="H63" s="36">
        <f t="shared" si="2"/>
        <v>0</v>
      </c>
      <c r="I63" s="11">
        <f t="shared" si="3"/>
        <v>-171400000</v>
      </c>
      <c r="J63" s="53">
        <f t="shared" si="4"/>
        <v>0</v>
      </c>
      <c r="K63" s="53">
        <f t="shared" si="5"/>
        <v>-171400000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852</v>
      </c>
      <c r="H64" s="36">
        <f t="shared" si="2"/>
        <v>0</v>
      </c>
      <c r="I64" s="11">
        <f t="shared" si="3"/>
        <v>-42600000</v>
      </c>
      <c r="J64" s="53">
        <f t="shared" si="4"/>
        <v>0</v>
      </c>
      <c r="K64" s="53">
        <f t="shared" si="5"/>
        <v>-42600000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848</v>
      </c>
      <c r="H65" s="36">
        <f t="shared" si="2"/>
        <v>0</v>
      </c>
      <c r="I65" s="11">
        <f t="shared" si="3"/>
        <v>-169600000</v>
      </c>
      <c r="J65" s="53">
        <f t="shared" si="4"/>
        <v>0</v>
      </c>
      <c r="K65" s="53">
        <f t="shared" si="5"/>
        <v>-169600000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845</v>
      </c>
      <c r="H66" s="36">
        <f t="shared" si="2"/>
        <v>0</v>
      </c>
      <c r="I66" s="11">
        <f t="shared" si="3"/>
        <v>-143650000</v>
      </c>
      <c r="J66" s="53">
        <f t="shared" si="4"/>
        <v>0</v>
      </c>
      <c r="K66" s="53">
        <f t="shared" si="5"/>
        <v>-143650000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844</v>
      </c>
      <c r="H67" s="36">
        <f t="shared" ref="H67:H131" si="8">IF(B67&gt;0,1,0)</f>
        <v>1</v>
      </c>
      <c r="I67" s="11">
        <f t="shared" ref="I67:I119" si="9">B67*(G67-H67)</f>
        <v>76986975</v>
      </c>
      <c r="J67" s="53">
        <f t="shared" ref="J67:J131" si="10">C67*(G67-H67)</f>
        <v>55404489</v>
      </c>
      <c r="K67" s="53">
        <f t="shared" ref="K67:K131" si="11">D67*(G67-H67)</f>
        <v>21582486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826</v>
      </c>
      <c r="H68" s="36">
        <f t="shared" si="8"/>
        <v>0</v>
      </c>
      <c r="I68" s="11">
        <f t="shared" si="9"/>
        <v>-119770000</v>
      </c>
      <c r="J68" s="53">
        <f t="shared" si="10"/>
        <v>0</v>
      </c>
      <c r="K68" s="53">
        <f t="shared" si="11"/>
        <v>-119770000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819</v>
      </c>
      <c r="H69" s="36">
        <f t="shared" si="8"/>
        <v>1</v>
      </c>
      <c r="I69" s="11">
        <f t="shared" si="9"/>
        <v>801640000</v>
      </c>
      <c r="J69" s="53">
        <f t="shared" si="10"/>
        <v>0</v>
      </c>
      <c r="K69" s="53">
        <f t="shared" si="11"/>
        <v>801640000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816</v>
      </c>
      <c r="H70" s="36">
        <f t="shared" si="8"/>
        <v>0</v>
      </c>
      <c r="I70" s="11">
        <f t="shared" si="9"/>
        <v>-37536000</v>
      </c>
      <c r="J70" s="53">
        <f t="shared" si="10"/>
        <v>0</v>
      </c>
      <c r="K70" s="53">
        <f t="shared" si="11"/>
        <v>-37536000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814</v>
      </c>
      <c r="H71" s="36">
        <f t="shared" si="8"/>
        <v>1</v>
      </c>
      <c r="I71" s="11">
        <f t="shared" si="9"/>
        <v>93769794</v>
      </c>
      <c r="J71" s="53">
        <f t="shared" si="10"/>
        <v>84399156</v>
      </c>
      <c r="K71" s="53">
        <f t="shared" si="11"/>
        <v>9370638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813</v>
      </c>
      <c r="H72" s="36">
        <f t="shared" si="8"/>
        <v>0</v>
      </c>
      <c r="I72" s="11">
        <f t="shared" si="9"/>
        <v>-123550797</v>
      </c>
      <c r="J72" s="53">
        <f t="shared" si="10"/>
        <v>0</v>
      </c>
      <c r="K72" s="53">
        <f t="shared" si="11"/>
        <v>-123550797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812</v>
      </c>
      <c r="H73" s="36">
        <f t="shared" si="8"/>
        <v>0</v>
      </c>
      <c r="I73" s="11">
        <f t="shared" si="9"/>
        <v>-654066000</v>
      </c>
      <c r="J73" s="53">
        <f t="shared" si="10"/>
        <v>0</v>
      </c>
      <c r="K73" s="53">
        <f t="shared" si="11"/>
        <v>-654066000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805</v>
      </c>
      <c r="H74" s="36">
        <f t="shared" si="8"/>
        <v>1</v>
      </c>
      <c r="I74" s="11">
        <f t="shared" si="9"/>
        <v>5623980000</v>
      </c>
      <c r="J74" s="53">
        <f t="shared" si="10"/>
        <v>0</v>
      </c>
      <c r="K74" s="53">
        <f t="shared" si="11"/>
        <v>5623980000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804</v>
      </c>
      <c r="H75" s="36">
        <f t="shared" si="8"/>
        <v>1</v>
      </c>
      <c r="I75" s="11">
        <f t="shared" si="9"/>
        <v>2409000000</v>
      </c>
      <c r="J75" s="53">
        <f t="shared" si="10"/>
        <v>0</v>
      </c>
      <c r="K75" s="53">
        <f t="shared" si="11"/>
        <v>2409000000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802</v>
      </c>
      <c r="H76" s="36">
        <f t="shared" si="8"/>
        <v>1</v>
      </c>
      <c r="I76" s="11">
        <f t="shared" si="9"/>
        <v>2403000000</v>
      </c>
      <c r="J76" s="53">
        <f t="shared" si="10"/>
        <v>0</v>
      </c>
      <c r="K76" s="53">
        <f t="shared" si="11"/>
        <v>2403000000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801</v>
      </c>
      <c r="H77" s="36">
        <f t="shared" si="8"/>
        <v>1</v>
      </c>
      <c r="I77" s="11">
        <f t="shared" si="9"/>
        <v>2400000000</v>
      </c>
      <c r="J77" s="53">
        <f t="shared" si="10"/>
        <v>0</v>
      </c>
      <c r="K77" s="53">
        <f t="shared" si="11"/>
        <v>2400000000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800</v>
      </c>
      <c r="H78" s="36">
        <f t="shared" si="8"/>
        <v>0</v>
      </c>
      <c r="I78" s="11">
        <f t="shared" si="9"/>
        <v>-2560000000</v>
      </c>
      <c r="J78" s="53">
        <f t="shared" si="10"/>
        <v>-2560000000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799</v>
      </c>
      <c r="H79" s="36">
        <f t="shared" si="8"/>
        <v>0</v>
      </c>
      <c r="I79" s="11">
        <f t="shared" si="9"/>
        <v>-639200000</v>
      </c>
      <c r="J79" s="53">
        <f t="shared" si="10"/>
        <v>-639200000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798</v>
      </c>
      <c r="H80" s="36">
        <f t="shared" si="8"/>
        <v>0</v>
      </c>
      <c r="I80" s="11">
        <f t="shared" si="9"/>
        <v>-38617614</v>
      </c>
      <c r="J80" s="53">
        <f t="shared" si="10"/>
        <v>0</v>
      </c>
      <c r="K80" s="53">
        <f t="shared" si="11"/>
        <v>-38617614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797</v>
      </c>
      <c r="H81" s="36">
        <f t="shared" si="8"/>
        <v>0</v>
      </c>
      <c r="I81" s="11">
        <f t="shared" si="9"/>
        <v>-111580000</v>
      </c>
      <c r="J81" s="53">
        <f t="shared" si="10"/>
        <v>0</v>
      </c>
      <c r="K81" s="53">
        <f t="shared" si="11"/>
        <v>-111580000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796</v>
      </c>
      <c r="H82" s="36">
        <f t="shared" si="8"/>
        <v>0</v>
      </c>
      <c r="I82" s="11">
        <f t="shared" si="9"/>
        <v>-199000000</v>
      </c>
      <c r="J82" s="53">
        <f t="shared" si="10"/>
        <v>0</v>
      </c>
      <c r="K82" s="53">
        <f t="shared" si="11"/>
        <v>-199000000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795</v>
      </c>
      <c r="H83" s="36">
        <f t="shared" si="8"/>
        <v>0</v>
      </c>
      <c r="I83" s="11">
        <f t="shared" si="9"/>
        <v>-159000000</v>
      </c>
      <c r="J83" s="53">
        <f t="shared" si="10"/>
        <v>0</v>
      </c>
      <c r="K83" s="53">
        <f t="shared" si="11"/>
        <v>-159000000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792</v>
      </c>
      <c r="H84" s="36">
        <f t="shared" si="8"/>
        <v>1</v>
      </c>
      <c r="I84" s="11">
        <f t="shared" si="9"/>
        <v>1293443200</v>
      </c>
      <c r="J84" s="53">
        <f t="shared" si="10"/>
        <v>0</v>
      </c>
      <c r="K84" s="53">
        <f t="shared" si="11"/>
        <v>1293443200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788</v>
      </c>
      <c r="H85" s="36">
        <f t="shared" si="8"/>
        <v>1</v>
      </c>
      <c r="I85" s="11">
        <f t="shared" si="9"/>
        <v>1967500000</v>
      </c>
      <c r="J85" s="53">
        <f t="shared" si="10"/>
        <v>0</v>
      </c>
      <c r="K85" s="53">
        <f t="shared" si="11"/>
        <v>1967500000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784</v>
      </c>
      <c r="H86" s="36">
        <f t="shared" si="8"/>
        <v>1</v>
      </c>
      <c r="I86" s="11">
        <f t="shared" si="9"/>
        <v>145872900</v>
      </c>
      <c r="J86" s="53">
        <f t="shared" si="10"/>
        <v>66515850</v>
      </c>
      <c r="K86" s="53">
        <f t="shared" si="11"/>
        <v>79357050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781</v>
      </c>
      <c r="H87" s="36">
        <f t="shared" si="8"/>
        <v>0</v>
      </c>
      <c r="I87" s="11">
        <f t="shared" si="9"/>
        <v>-156200000</v>
      </c>
      <c r="J87" s="53">
        <f t="shared" si="10"/>
        <v>0</v>
      </c>
      <c r="K87" s="53">
        <f t="shared" si="11"/>
        <v>-156200000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780</v>
      </c>
      <c r="H88" s="36">
        <f t="shared" si="8"/>
        <v>0</v>
      </c>
      <c r="I88" s="11">
        <f t="shared" si="9"/>
        <v>-92040000</v>
      </c>
      <c r="J88" s="53">
        <f t="shared" si="10"/>
        <v>-53820000</v>
      </c>
      <c r="K88" s="53">
        <f t="shared" si="11"/>
        <v>-38220000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772</v>
      </c>
      <c r="H89" s="36">
        <f t="shared" si="8"/>
        <v>0</v>
      </c>
      <c r="I89" s="11">
        <f t="shared" si="9"/>
        <v>-2471094800</v>
      </c>
      <c r="J89" s="53">
        <f t="shared" si="10"/>
        <v>0</v>
      </c>
      <c r="K89" s="53">
        <f t="shared" si="11"/>
        <v>-2471094800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771</v>
      </c>
      <c r="H90" s="36">
        <f t="shared" si="8"/>
        <v>0</v>
      </c>
      <c r="I90" s="11">
        <f t="shared" si="9"/>
        <v>-2467893900</v>
      </c>
      <c r="J90" s="53">
        <f t="shared" si="10"/>
        <v>0</v>
      </c>
      <c r="K90" s="53">
        <f t="shared" si="11"/>
        <v>-2467893900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770</v>
      </c>
      <c r="H91" s="36">
        <f t="shared" si="8"/>
        <v>0</v>
      </c>
      <c r="I91" s="11">
        <f t="shared" si="9"/>
        <v>-2464693000</v>
      </c>
      <c r="J91" s="53">
        <f t="shared" si="10"/>
        <v>0</v>
      </c>
      <c r="K91" s="53">
        <f t="shared" si="11"/>
        <v>-2464693000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769</v>
      </c>
      <c r="H92" s="36">
        <f t="shared" si="8"/>
        <v>0</v>
      </c>
      <c r="I92" s="11">
        <f t="shared" si="9"/>
        <v>-2461492100</v>
      </c>
      <c r="J92" s="53">
        <f t="shared" si="10"/>
        <v>0</v>
      </c>
      <c r="K92" s="53">
        <f t="shared" si="11"/>
        <v>-2461492100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768</v>
      </c>
      <c r="H93" s="36">
        <f t="shared" si="8"/>
        <v>0</v>
      </c>
      <c r="I93" s="11">
        <f t="shared" si="9"/>
        <v>-2458291200</v>
      </c>
      <c r="J93" s="53">
        <f t="shared" si="10"/>
        <v>0</v>
      </c>
      <c r="K93" s="53">
        <f t="shared" si="11"/>
        <v>-2458291200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767</v>
      </c>
      <c r="H94" s="36">
        <f t="shared" si="8"/>
        <v>0</v>
      </c>
      <c r="I94" s="11">
        <f t="shared" si="9"/>
        <v>-2455090300</v>
      </c>
      <c r="J94" s="53">
        <f t="shared" si="10"/>
        <v>0</v>
      </c>
      <c r="K94" s="53">
        <f t="shared" si="11"/>
        <v>-2455090300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765</v>
      </c>
      <c r="H95" s="36">
        <f t="shared" si="8"/>
        <v>0</v>
      </c>
      <c r="I95" s="11">
        <f t="shared" si="9"/>
        <v>-915395940</v>
      </c>
      <c r="J95" s="53">
        <f t="shared" si="10"/>
        <v>0</v>
      </c>
      <c r="K95" s="53">
        <f t="shared" si="11"/>
        <v>-915395940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755</v>
      </c>
      <c r="H96" s="36">
        <f t="shared" si="8"/>
        <v>0</v>
      </c>
      <c r="I96" s="11">
        <f t="shared" si="9"/>
        <v>-151000000</v>
      </c>
      <c r="J96" s="53">
        <f t="shared" si="10"/>
        <v>0</v>
      </c>
      <c r="K96" s="53">
        <f t="shared" si="11"/>
        <v>-151000000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754</v>
      </c>
      <c r="H97" s="36">
        <f t="shared" si="8"/>
        <v>1</v>
      </c>
      <c r="I97" s="11">
        <f t="shared" si="9"/>
        <v>120147174</v>
      </c>
      <c r="J97" s="53">
        <f t="shared" si="10"/>
        <v>51901278</v>
      </c>
      <c r="K97" s="53">
        <f t="shared" si="11"/>
        <v>68245896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749</v>
      </c>
      <c r="H98" s="36">
        <f t="shared" si="8"/>
        <v>1</v>
      </c>
      <c r="I98" s="11">
        <f t="shared" si="9"/>
        <v>85547264</v>
      </c>
      <c r="J98" s="53">
        <f t="shared" si="10"/>
        <v>0</v>
      </c>
      <c r="K98" s="53">
        <f t="shared" si="11"/>
        <v>85547264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746</v>
      </c>
      <c r="H99" s="36">
        <f t="shared" si="8"/>
        <v>0</v>
      </c>
      <c r="I99" s="11">
        <f t="shared" si="9"/>
        <v>-988450000</v>
      </c>
      <c r="J99" s="53">
        <f t="shared" si="10"/>
        <v>0</v>
      </c>
      <c r="K99" s="53">
        <f t="shared" si="11"/>
        <v>-988450000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741</v>
      </c>
      <c r="H100" s="36">
        <f t="shared" si="8"/>
        <v>1</v>
      </c>
      <c r="I100" s="11">
        <f t="shared" si="9"/>
        <v>980500000</v>
      </c>
      <c r="J100" s="53">
        <f t="shared" si="10"/>
        <v>0</v>
      </c>
      <c r="K100" s="53">
        <f t="shared" si="11"/>
        <v>980500000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724</v>
      </c>
      <c r="H101" s="36">
        <f t="shared" si="8"/>
        <v>1</v>
      </c>
      <c r="I101" s="11">
        <f t="shared" si="9"/>
        <v>48328935</v>
      </c>
      <c r="J101" s="53">
        <f t="shared" si="10"/>
        <v>48328935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721</v>
      </c>
      <c r="H102" s="36">
        <f t="shared" si="8"/>
        <v>1</v>
      </c>
      <c r="I102" s="11">
        <f t="shared" si="9"/>
        <v>2160000000</v>
      </c>
      <c r="J102" s="53">
        <f t="shared" si="10"/>
        <v>0</v>
      </c>
      <c r="K102" s="53">
        <f t="shared" si="11"/>
        <v>2160000000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714</v>
      </c>
      <c r="H103" s="36">
        <f t="shared" si="8"/>
        <v>0</v>
      </c>
      <c r="I103" s="11">
        <f t="shared" si="9"/>
        <v>-714000000</v>
      </c>
      <c r="J103" s="53">
        <f t="shared" si="10"/>
        <v>-714000000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704</v>
      </c>
      <c r="H104" s="36">
        <f t="shared" si="8"/>
        <v>1</v>
      </c>
      <c r="I104" s="11">
        <f t="shared" si="9"/>
        <v>2109000000</v>
      </c>
      <c r="J104" s="53">
        <f t="shared" si="10"/>
        <v>2109000000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703</v>
      </c>
      <c r="H105" s="36">
        <f t="shared" si="8"/>
        <v>1</v>
      </c>
      <c r="I105" s="11">
        <f t="shared" si="9"/>
        <v>786240000</v>
      </c>
      <c r="J105" s="53">
        <f t="shared" si="10"/>
        <v>786240000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703</v>
      </c>
      <c r="H106" s="36">
        <f t="shared" si="8"/>
        <v>0</v>
      </c>
      <c r="I106" s="11">
        <f t="shared" si="9"/>
        <v>-2109000000</v>
      </c>
      <c r="J106" s="53">
        <f t="shared" si="10"/>
        <v>0</v>
      </c>
      <c r="K106" s="53">
        <f t="shared" si="11"/>
        <v>-2109000000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694</v>
      </c>
      <c r="H107" s="36">
        <f t="shared" si="8"/>
        <v>1</v>
      </c>
      <c r="I107" s="11">
        <f t="shared" si="9"/>
        <v>62712342</v>
      </c>
      <c r="J107" s="53">
        <f t="shared" si="10"/>
        <v>52054695</v>
      </c>
      <c r="K107" s="53">
        <f t="shared" si="11"/>
        <v>10657647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692</v>
      </c>
      <c r="H108" s="36">
        <f t="shared" si="8"/>
        <v>0</v>
      </c>
      <c r="I108" s="11">
        <f t="shared" si="9"/>
        <v>-1176884400</v>
      </c>
      <c r="J108" s="53">
        <f t="shared" si="10"/>
        <v>0</v>
      </c>
      <c r="K108" s="53">
        <f t="shared" si="11"/>
        <v>-1176884400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688</v>
      </c>
      <c r="H109" s="36">
        <f t="shared" si="8"/>
        <v>0</v>
      </c>
      <c r="I109" s="11">
        <f t="shared" si="9"/>
        <v>-688344000</v>
      </c>
      <c r="J109" s="53">
        <f t="shared" si="10"/>
        <v>0</v>
      </c>
      <c r="K109" s="53">
        <f t="shared" si="11"/>
        <v>-688344000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685</v>
      </c>
      <c r="H110" s="36">
        <f t="shared" si="8"/>
        <v>1</v>
      </c>
      <c r="I110" s="11">
        <f t="shared" si="9"/>
        <v>13680000000</v>
      </c>
      <c r="J110" s="53">
        <f t="shared" si="10"/>
        <v>0</v>
      </c>
      <c r="K110" s="53">
        <f t="shared" si="11"/>
        <v>13680000000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665</v>
      </c>
      <c r="H111" s="36">
        <f t="shared" si="8"/>
        <v>1</v>
      </c>
      <c r="I111" s="11">
        <f t="shared" si="9"/>
        <v>115986192</v>
      </c>
      <c r="J111" s="53">
        <f t="shared" si="10"/>
        <v>58009032</v>
      </c>
      <c r="K111" s="53">
        <f t="shared" si="11"/>
        <v>57977160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649</v>
      </c>
      <c r="H112" s="36">
        <f t="shared" si="8"/>
        <v>0</v>
      </c>
      <c r="I112" s="11">
        <f t="shared" si="9"/>
        <v>-18431600000</v>
      </c>
      <c r="J112" s="53">
        <f t="shared" si="10"/>
        <v>0</v>
      </c>
      <c r="K112" s="53">
        <f t="shared" si="11"/>
        <v>-18431600000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634</v>
      </c>
      <c r="H113" s="36">
        <f t="shared" si="8"/>
        <v>1</v>
      </c>
      <c r="I113" s="11">
        <f t="shared" si="9"/>
        <v>103204320</v>
      </c>
      <c r="J113" s="53">
        <f t="shared" si="10"/>
        <v>77549463</v>
      </c>
      <c r="K113" s="53">
        <f t="shared" si="11"/>
        <v>25654857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634</v>
      </c>
      <c r="H114" s="36">
        <f t="shared" si="8"/>
        <v>0</v>
      </c>
      <c r="I114" s="11">
        <f t="shared" si="9"/>
        <v>-3613800</v>
      </c>
      <c r="J114" s="53">
        <f t="shared" si="10"/>
        <v>-1585000</v>
      </c>
      <c r="K114" s="53">
        <f t="shared" si="11"/>
        <v>-2028800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621</v>
      </c>
      <c r="H115" s="36">
        <f t="shared" si="8"/>
        <v>0</v>
      </c>
      <c r="I115" s="11">
        <f t="shared" si="9"/>
        <v>0</v>
      </c>
      <c r="J115" s="53">
        <f t="shared" si="10"/>
        <v>310500000</v>
      </c>
      <c r="K115" s="53">
        <f t="shared" si="11"/>
        <v>-310500000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613</v>
      </c>
      <c r="H116" s="36">
        <f t="shared" si="8"/>
        <v>0</v>
      </c>
      <c r="I116" s="11">
        <f t="shared" si="9"/>
        <v>-98080000</v>
      </c>
      <c r="J116" s="53">
        <f t="shared" si="10"/>
        <v>0</v>
      </c>
      <c r="K116" s="53">
        <f t="shared" si="11"/>
        <v>-98080000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604</v>
      </c>
      <c r="H117" s="36">
        <f t="shared" si="8"/>
        <v>1</v>
      </c>
      <c r="I117" s="11">
        <f t="shared" si="9"/>
        <v>892440</v>
      </c>
      <c r="J117" s="53">
        <f t="shared" si="10"/>
        <v>64485423</v>
      </c>
      <c r="K117" s="53">
        <f t="shared" si="11"/>
        <v>-63592983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582</v>
      </c>
      <c r="H118" s="36">
        <f t="shared" si="8"/>
        <v>1</v>
      </c>
      <c r="I118" s="11">
        <f t="shared" si="9"/>
        <v>22891109500</v>
      </c>
      <c r="J118" s="53">
        <f t="shared" si="10"/>
        <v>0</v>
      </c>
      <c r="K118" s="53">
        <f t="shared" si="11"/>
        <v>22891109500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573</v>
      </c>
      <c r="H119" s="36">
        <f t="shared" si="8"/>
        <v>1</v>
      </c>
      <c r="I119" s="11">
        <f t="shared" si="9"/>
        <v>54638012</v>
      </c>
      <c r="J119" s="53">
        <f t="shared" si="10"/>
        <v>62950888</v>
      </c>
      <c r="K119" s="53">
        <f t="shared" si="11"/>
        <v>-8312876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569</v>
      </c>
      <c r="H120" s="11">
        <f t="shared" si="8"/>
        <v>1</v>
      </c>
      <c r="I120" s="11">
        <f t="shared" ref="I120:I298" si="13">B120*(G120-H120)</f>
        <v>1136000000</v>
      </c>
      <c r="J120" s="11">
        <f t="shared" si="10"/>
        <v>0</v>
      </c>
      <c r="K120" s="11">
        <f t="shared" si="11"/>
        <v>1136000000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543</v>
      </c>
      <c r="H121" s="11">
        <f t="shared" si="8"/>
        <v>1</v>
      </c>
      <c r="I121" s="11">
        <f t="shared" si="13"/>
        <v>1409200000</v>
      </c>
      <c r="J121" s="11">
        <f t="shared" si="10"/>
        <v>0</v>
      </c>
      <c r="K121" s="11">
        <f t="shared" si="11"/>
        <v>1409200000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542</v>
      </c>
      <c r="H122" s="11">
        <f t="shared" si="8"/>
        <v>1</v>
      </c>
      <c r="I122" s="11">
        <f t="shared" si="13"/>
        <v>208042091</v>
      </c>
      <c r="J122" s="11">
        <f t="shared" si="10"/>
        <v>60001228</v>
      </c>
      <c r="K122" s="11">
        <f t="shared" si="11"/>
        <v>148040863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541</v>
      </c>
      <c r="H123" s="11">
        <f t="shared" si="8"/>
        <v>0</v>
      </c>
      <c r="I123" s="11">
        <f t="shared" si="13"/>
        <v>0</v>
      </c>
      <c r="J123" s="11">
        <f t="shared" si="10"/>
        <v>432800000</v>
      </c>
      <c r="K123" s="11">
        <f t="shared" si="11"/>
        <v>-432800000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527</v>
      </c>
      <c r="H124" s="11">
        <f t="shared" si="8"/>
        <v>0</v>
      </c>
      <c r="I124" s="11">
        <f t="shared" si="13"/>
        <v>-1581000000</v>
      </c>
      <c r="J124" s="11">
        <f t="shared" si="10"/>
        <v>0</v>
      </c>
      <c r="K124" s="11">
        <f t="shared" si="11"/>
        <v>-1581000000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512</v>
      </c>
      <c r="H125" s="11">
        <f t="shared" si="8"/>
        <v>1</v>
      </c>
      <c r="I125" s="11">
        <f t="shared" si="13"/>
        <v>204762810</v>
      </c>
      <c r="J125" s="11">
        <f t="shared" si="10"/>
        <v>60745125</v>
      </c>
      <c r="K125" s="11">
        <f t="shared" si="11"/>
        <v>144017685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512</v>
      </c>
      <c r="H126" s="11">
        <f t="shared" si="8"/>
        <v>1</v>
      </c>
      <c r="I126" s="11">
        <f t="shared" si="13"/>
        <v>21462000000</v>
      </c>
      <c r="J126" s="11">
        <f t="shared" si="10"/>
        <v>0</v>
      </c>
      <c r="K126" s="11">
        <f t="shared" si="11"/>
        <v>21462000000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487</v>
      </c>
      <c r="H127" s="11">
        <f t="shared" si="8"/>
        <v>0</v>
      </c>
      <c r="I127" s="11">
        <f t="shared" si="13"/>
        <v>-2435000</v>
      </c>
      <c r="J127" s="11">
        <f t="shared" si="10"/>
        <v>0</v>
      </c>
      <c r="K127" s="11">
        <f t="shared" si="11"/>
        <v>-2435000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481</v>
      </c>
      <c r="H128" s="11">
        <f t="shared" si="8"/>
        <v>1</v>
      </c>
      <c r="I128" s="11">
        <f t="shared" si="13"/>
        <v>370259520</v>
      </c>
      <c r="J128" s="11">
        <f t="shared" si="10"/>
        <v>57934560</v>
      </c>
      <c r="K128" s="11">
        <f t="shared" si="11"/>
        <v>312324960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478</v>
      </c>
      <c r="H129" s="11">
        <f t="shared" si="8"/>
        <v>1</v>
      </c>
      <c r="I129" s="11">
        <f t="shared" si="13"/>
        <v>1192500000</v>
      </c>
      <c r="J129" s="11">
        <f t="shared" si="10"/>
        <v>0</v>
      </c>
      <c r="K129" s="11">
        <f t="shared" si="11"/>
        <v>1192500000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464</v>
      </c>
      <c r="H130" s="11">
        <f t="shared" si="8"/>
        <v>0</v>
      </c>
      <c r="I130" s="11">
        <f t="shared" si="13"/>
        <v>-464000000</v>
      </c>
      <c r="J130" s="11">
        <f t="shared" si="10"/>
        <v>-464000000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459</v>
      </c>
      <c r="H131" s="11">
        <f t="shared" si="8"/>
        <v>0</v>
      </c>
      <c r="I131" s="11">
        <f t="shared" si="13"/>
        <v>-22950000000</v>
      </c>
      <c r="J131" s="11">
        <f t="shared" si="10"/>
        <v>0</v>
      </c>
      <c r="K131" s="11">
        <f t="shared" si="11"/>
        <v>-22950000000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451</v>
      </c>
      <c r="H132" s="11">
        <f t="shared" ref="H132:H298" si="15">IF(B132&gt;0,1,0)</f>
        <v>1</v>
      </c>
      <c r="I132" s="11">
        <f t="shared" si="13"/>
        <v>276429150</v>
      </c>
      <c r="J132" s="11">
        <f t="shared" ref="J132:J206" si="16">C132*(G132-H132)</f>
        <v>47686950</v>
      </c>
      <c r="K132" s="11">
        <f t="shared" ref="K132:K298" si="17">D132*(G132-H132)</f>
        <v>228742200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447</v>
      </c>
      <c r="H133" s="11">
        <f t="shared" si="15"/>
        <v>0</v>
      </c>
      <c r="I133" s="11">
        <f t="shared" si="13"/>
        <v>-541182900</v>
      </c>
      <c r="J133" s="11">
        <f t="shared" si="16"/>
        <v>0</v>
      </c>
      <c r="K133" s="11">
        <f t="shared" si="17"/>
        <v>-541182900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438</v>
      </c>
      <c r="H134" s="11">
        <f t="shared" si="15"/>
        <v>0</v>
      </c>
      <c r="I134" s="11">
        <f t="shared" si="13"/>
        <v>-28470000</v>
      </c>
      <c r="J134" s="11">
        <f t="shared" si="16"/>
        <v>0</v>
      </c>
      <c r="K134" s="11">
        <f t="shared" si="17"/>
        <v>-28470000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438</v>
      </c>
      <c r="H135" s="11">
        <f t="shared" si="15"/>
        <v>0</v>
      </c>
      <c r="I135" s="11">
        <f t="shared" si="13"/>
        <v>-14147400</v>
      </c>
      <c r="J135" s="11">
        <f t="shared" si="16"/>
        <v>0</v>
      </c>
      <c r="K135" s="11">
        <f t="shared" si="17"/>
        <v>-14147400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430</v>
      </c>
      <c r="H136" s="11">
        <f t="shared" si="15"/>
        <v>0</v>
      </c>
      <c r="I136" s="11">
        <f t="shared" si="13"/>
        <v>-430000000</v>
      </c>
      <c r="J136" s="11">
        <f t="shared" si="16"/>
        <v>-430000000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421</v>
      </c>
      <c r="H137" s="11">
        <f t="shared" si="15"/>
        <v>1</v>
      </c>
      <c r="I137" s="11">
        <f t="shared" si="13"/>
        <v>122166660</v>
      </c>
      <c r="J137" s="11">
        <f t="shared" si="16"/>
        <v>40890780</v>
      </c>
      <c r="K137" s="11">
        <f t="shared" si="17"/>
        <v>81275880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404</v>
      </c>
      <c r="H138" s="11">
        <f t="shared" si="15"/>
        <v>0</v>
      </c>
      <c r="I138" s="11">
        <f t="shared" si="13"/>
        <v>-404202000</v>
      </c>
      <c r="J138" s="11">
        <f t="shared" si="16"/>
        <v>-404202000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392</v>
      </c>
      <c r="H139" s="11">
        <f t="shared" si="15"/>
        <v>1</v>
      </c>
      <c r="I139" s="11">
        <f t="shared" si="13"/>
        <v>110355840</v>
      </c>
      <c r="J139" s="11">
        <f t="shared" si="16"/>
        <v>34723537</v>
      </c>
      <c r="K139" s="11">
        <f t="shared" si="17"/>
        <v>75632303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389</v>
      </c>
      <c r="H140" s="11">
        <f t="shared" si="15"/>
        <v>1</v>
      </c>
      <c r="I140" s="11">
        <f t="shared" si="13"/>
        <v>582000000</v>
      </c>
      <c r="J140" s="11">
        <f t="shared" si="16"/>
        <v>0</v>
      </c>
      <c r="K140" s="11">
        <f t="shared" si="17"/>
        <v>582000000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376</v>
      </c>
      <c r="H141" s="11">
        <f t="shared" si="15"/>
        <v>0</v>
      </c>
      <c r="I141" s="11">
        <f t="shared" si="13"/>
        <v>0</v>
      </c>
      <c r="J141" s="11">
        <f t="shared" si="16"/>
        <v>-376000000</v>
      </c>
      <c r="K141" s="11">
        <f t="shared" si="17"/>
        <v>376000000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362</v>
      </c>
      <c r="H142" s="11">
        <f t="shared" si="15"/>
        <v>1</v>
      </c>
      <c r="I142" s="11">
        <f t="shared" si="13"/>
        <v>105012373</v>
      </c>
      <c r="J142" s="11">
        <f t="shared" si="16"/>
        <v>29248942</v>
      </c>
      <c r="K142" s="11">
        <f t="shared" si="17"/>
        <v>75763431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342</v>
      </c>
      <c r="H143" s="11">
        <f t="shared" si="15"/>
        <v>0</v>
      </c>
      <c r="I143" s="11">
        <f t="shared" si="13"/>
        <v>0</v>
      </c>
      <c r="J143" s="11">
        <f t="shared" si="16"/>
        <v>-342000000</v>
      </c>
      <c r="K143" s="11">
        <f t="shared" si="17"/>
        <v>342000000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332</v>
      </c>
      <c r="H144" s="11">
        <f t="shared" si="15"/>
        <v>1</v>
      </c>
      <c r="I144" s="11">
        <f t="shared" si="13"/>
        <v>97596012</v>
      </c>
      <c r="J144" s="11">
        <f t="shared" si="16"/>
        <v>24711467</v>
      </c>
      <c r="K144" s="11">
        <f t="shared" si="17"/>
        <v>72884545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317</v>
      </c>
      <c r="H145" s="11">
        <f t="shared" si="15"/>
        <v>0</v>
      </c>
      <c r="I145" s="11">
        <f t="shared" si="13"/>
        <v>-3170000</v>
      </c>
      <c r="J145" s="11">
        <f t="shared" si="16"/>
        <v>-1585000</v>
      </c>
      <c r="K145" s="11">
        <f t="shared" si="17"/>
        <v>-1585000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312</v>
      </c>
      <c r="H146" s="11">
        <f t="shared" si="15"/>
        <v>0</v>
      </c>
      <c r="I146" s="11">
        <f t="shared" si="13"/>
        <v>-312156000</v>
      </c>
      <c r="J146" s="11">
        <f t="shared" si="16"/>
        <v>-312156000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306</v>
      </c>
      <c r="H147" s="11">
        <f t="shared" si="15"/>
        <v>0</v>
      </c>
      <c r="I147" s="11">
        <f t="shared" si="13"/>
        <v>-8262000000</v>
      </c>
      <c r="J147" s="11">
        <f t="shared" si="16"/>
        <v>0</v>
      </c>
      <c r="K147" s="11">
        <f t="shared" si="17"/>
        <v>-8262000000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303</v>
      </c>
      <c r="H148" s="11">
        <f t="shared" si="15"/>
        <v>1</v>
      </c>
      <c r="I148" s="11">
        <f t="shared" si="13"/>
        <v>76235672</v>
      </c>
      <c r="J148" s="11">
        <f t="shared" si="16"/>
        <v>19784020</v>
      </c>
      <c r="K148" s="11">
        <f t="shared" si="17"/>
        <v>56451652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295</v>
      </c>
      <c r="H149" s="11">
        <f t="shared" si="15"/>
        <v>1</v>
      </c>
      <c r="I149" s="11">
        <f t="shared" si="13"/>
        <v>15405600000</v>
      </c>
      <c r="J149" s="11">
        <f t="shared" si="16"/>
        <v>0</v>
      </c>
      <c r="K149" s="11">
        <f t="shared" si="17"/>
        <v>15405600000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288</v>
      </c>
      <c r="H150" s="11">
        <f t="shared" si="15"/>
        <v>0</v>
      </c>
      <c r="I150" s="11">
        <f t="shared" si="13"/>
        <v>-14976000000</v>
      </c>
      <c r="J150" s="11">
        <f t="shared" si="16"/>
        <v>0</v>
      </c>
      <c r="K150" s="11">
        <f t="shared" si="17"/>
        <v>-14976000000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283</v>
      </c>
      <c r="H151" s="99">
        <f t="shared" si="15"/>
        <v>0</v>
      </c>
      <c r="I151" s="99">
        <f t="shared" si="13"/>
        <v>-2264000000</v>
      </c>
      <c r="J151" s="99">
        <f t="shared" si="16"/>
        <v>-1916513073</v>
      </c>
      <c r="K151" s="11">
        <f t="shared" si="17"/>
        <v>-347486927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283</v>
      </c>
      <c r="H152" s="99">
        <f t="shared" si="15"/>
        <v>0</v>
      </c>
      <c r="I152" s="99">
        <f t="shared" si="13"/>
        <v>-8838090</v>
      </c>
      <c r="J152" s="99">
        <f t="shared" si="16"/>
        <v>0</v>
      </c>
      <c r="K152" s="99">
        <f t="shared" si="17"/>
        <v>-8838090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272</v>
      </c>
      <c r="H153" s="99">
        <f t="shared" si="15"/>
        <v>1</v>
      </c>
      <c r="I153" s="99">
        <f t="shared" si="13"/>
        <v>36608577</v>
      </c>
      <c r="J153" s="99">
        <f t="shared" si="16"/>
        <v>11146230</v>
      </c>
      <c r="K153" s="99">
        <f t="shared" si="17"/>
        <v>25462347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269</v>
      </c>
      <c r="H154" s="99">
        <f t="shared" si="15"/>
        <v>1</v>
      </c>
      <c r="I154" s="99">
        <f t="shared" si="13"/>
        <v>1828853976</v>
      </c>
      <c r="J154" s="99">
        <f t="shared" si="16"/>
        <v>1828853976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264</v>
      </c>
      <c r="H155" s="99">
        <f t="shared" si="15"/>
        <v>0</v>
      </c>
      <c r="I155" s="99">
        <f t="shared" si="13"/>
        <v>-52800000</v>
      </c>
      <c r="J155" s="99">
        <f t="shared" si="16"/>
        <v>0</v>
      </c>
      <c r="K155" s="99">
        <f t="shared" si="17"/>
        <v>-52800000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264</v>
      </c>
      <c r="H156" s="99">
        <f t="shared" si="15"/>
        <v>0</v>
      </c>
      <c r="I156" s="99">
        <f t="shared" si="13"/>
        <v>-65429760</v>
      </c>
      <c r="J156" s="99">
        <f t="shared" si="16"/>
        <v>0</v>
      </c>
      <c r="K156" s="99">
        <f t="shared" si="17"/>
        <v>-65429760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263</v>
      </c>
      <c r="H157" s="99">
        <f t="shared" si="15"/>
        <v>0</v>
      </c>
      <c r="I157" s="99">
        <f t="shared" si="13"/>
        <v>-42695420</v>
      </c>
      <c r="J157" s="99">
        <f t="shared" si="16"/>
        <v>0</v>
      </c>
      <c r="K157" s="99">
        <f t="shared" si="17"/>
        <v>-42695420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263</v>
      </c>
      <c r="H158" s="99">
        <f t="shared" si="15"/>
        <v>0</v>
      </c>
      <c r="I158" s="99">
        <f t="shared" si="13"/>
        <v>-789236700</v>
      </c>
      <c r="J158" s="99">
        <f t="shared" si="16"/>
        <v>0</v>
      </c>
      <c r="K158" s="99">
        <f t="shared" si="17"/>
        <v>-789236700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261</v>
      </c>
      <c r="H159" s="99">
        <f t="shared" si="15"/>
        <v>0</v>
      </c>
      <c r="I159" s="99">
        <f t="shared" si="13"/>
        <v>-261130500</v>
      </c>
      <c r="J159" s="99">
        <f t="shared" si="16"/>
        <v>0</v>
      </c>
      <c r="K159" s="99">
        <f t="shared" si="17"/>
        <v>-261130500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257</v>
      </c>
      <c r="H160" s="99">
        <f t="shared" si="15"/>
        <v>0</v>
      </c>
      <c r="I160" s="99">
        <f t="shared" si="13"/>
        <v>-25700000</v>
      </c>
      <c r="J160" s="99">
        <f t="shared" si="16"/>
        <v>0</v>
      </c>
      <c r="K160" s="99">
        <f t="shared" si="17"/>
        <v>-25700000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256</v>
      </c>
      <c r="H161" s="99">
        <f t="shared" si="15"/>
        <v>0</v>
      </c>
      <c r="I161" s="99">
        <f t="shared" si="13"/>
        <v>-512000000</v>
      </c>
      <c r="J161" s="99">
        <f t="shared" si="16"/>
        <v>0</v>
      </c>
      <c r="K161" s="99">
        <f t="shared" si="17"/>
        <v>-512000000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256</v>
      </c>
      <c r="H162" s="99">
        <f t="shared" si="15"/>
        <v>0</v>
      </c>
      <c r="I162" s="99">
        <f t="shared" si="13"/>
        <v>-256128000</v>
      </c>
      <c r="J162" s="99">
        <f t="shared" si="16"/>
        <v>0</v>
      </c>
      <c r="K162" s="99">
        <f t="shared" si="17"/>
        <v>-256128000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253</v>
      </c>
      <c r="H163" s="99">
        <f t="shared" si="15"/>
        <v>0</v>
      </c>
      <c r="I163" s="99">
        <f t="shared" si="13"/>
        <v>-1265000</v>
      </c>
      <c r="J163" s="99">
        <f t="shared" si="16"/>
        <v>0</v>
      </c>
      <c r="K163" s="99">
        <f t="shared" si="17"/>
        <v>-1265000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243</v>
      </c>
      <c r="H164" s="99">
        <f t="shared" si="15"/>
        <v>1</v>
      </c>
      <c r="I164" s="99">
        <f t="shared" si="13"/>
        <v>726000000</v>
      </c>
      <c r="J164" s="99">
        <f t="shared" si="16"/>
        <v>0</v>
      </c>
      <c r="K164" s="99">
        <f t="shared" si="17"/>
        <v>726000000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242</v>
      </c>
      <c r="H165" s="99">
        <f t="shared" si="15"/>
        <v>1</v>
      </c>
      <c r="I165" s="99">
        <f t="shared" si="13"/>
        <v>723000000</v>
      </c>
      <c r="J165" s="99">
        <f t="shared" si="16"/>
        <v>0</v>
      </c>
      <c r="K165" s="99">
        <f t="shared" si="17"/>
        <v>723000000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241</v>
      </c>
      <c r="H166" s="99">
        <f t="shared" si="15"/>
        <v>1</v>
      </c>
      <c r="I166" s="99">
        <f t="shared" si="13"/>
        <v>4875360</v>
      </c>
      <c r="J166" s="99">
        <f t="shared" si="16"/>
        <v>14362080</v>
      </c>
      <c r="K166" s="99">
        <f t="shared" si="17"/>
        <v>-9486720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236</v>
      </c>
      <c r="H167" s="99">
        <f t="shared" si="15"/>
        <v>0</v>
      </c>
      <c r="I167" s="99">
        <f t="shared" si="13"/>
        <v>-708212400</v>
      </c>
      <c r="J167" s="99">
        <f t="shared" si="16"/>
        <v>0</v>
      </c>
      <c r="K167" s="99">
        <f t="shared" si="17"/>
        <v>-708212400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218</v>
      </c>
      <c r="H168" s="99">
        <f t="shared" si="15"/>
        <v>0</v>
      </c>
      <c r="I168" s="99">
        <f t="shared" si="13"/>
        <v>-654196200</v>
      </c>
      <c r="J168" s="99">
        <f t="shared" si="16"/>
        <v>0</v>
      </c>
      <c r="K168" s="99">
        <f t="shared" si="17"/>
        <v>-654196200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210</v>
      </c>
      <c r="H169" s="99">
        <f t="shared" si="15"/>
        <v>1</v>
      </c>
      <c r="I169" s="99">
        <f t="shared" si="13"/>
        <v>4536345</v>
      </c>
      <c r="J169" s="99">
        <f t="shared" si="16"/>
        <v>14319635</v>
      </c>
      <c r="K169" s="99">
        <f t="shared" si="17"/>
        <v>-9783290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186</v>
      </c>
      <c r="H170" s="99">
        <f t="shared" si="15"/>
        <v>1</v>
      </c>
      <c r="I170" s="99">
        <f t="shared" si="13"/>
        <v>925000000</v>
      </c>
      <c r="J170" s="99">
        <f t="shared" si="16"/>
        <v>0</v>
      </c>
      <c r="K170" s="99">
        <f t="shared" si="17"/>
        <v>925000000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185</v>
      </c>
      <c r="H171" s="99">
        <f t="shared" si="15"/>
        <v>0</v>
      </c>
      <c r="I171" s="99">
        <f t="shared" si="13"/>
        <v>-925000000</v>
      </c>
      <c r="J171" s="99">
        <f t="shared" si="16"/>
        <v>0</v>
      </c>
      <c r="K171" s="99">
        <f t="shared" si="17"/>
        <v>-925000000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179</v>
      </c>
      <c r="H172" s="99">
        <f t="shared" si="15"/>
        <v>1</v>
      </c>
      <c r="I172" s="99">
        <f t="shared" si="13"/>
        <v>88288</v>
      </c>
      <c r="J172" s="99">
        <f t="shared" si="16"/>
        <v>11157218</v>
      </c>
      <c r="K172" s="99">
        <f t="shared" si="17"/>
        <v>-11068930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178</v>
      </c>
      <c r="H173" s="99">
        <f t="shared" si="15"/>
        <v>1</v>
      </c>
      <c r="I173" s="99">
        <f t="shared" si="13"/>
        <v>138945000</v>
      </c>
      <c r="J173" s="99">
        <f t="shared" si="16"/>
        <v>0</v>
      </c>
      <c r="K173" s="99">
        <f t="shared" si="17"/>
        <v>138945000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167</v>
      </c>
      <c r="H174" s="99">
        <f t="shared" si="15"/>
        <v>0</v>
      </c>
      <c r="I174" s="99">
        <f t="shared" si="13"/>
        <v>-5344000</v>
      </c>
      <c r="J174" s="99">
        <f t="shared" si="16"/>
        <v>0</v>
      </c>
      <c r="K174" s="99">
        <f t="shared" si="17"/>
        <v>-5344000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165</v>
      </c>
      <c r="H175" s="99">
        <f t="shared" si="15"/>
        <v>0</v>
      </c>
      <c r="I175" s="99">
        <f t="shared" si="13"/>
        <v>-123750000</v>
      </c>
      <c r="J175" s="99">
        <f t="shared" si="16"/>
        <v>0</v>
      </c>
      <c r="K175" s="99">
        <f t="shared" si="17"/>
        <v>-123750000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156</v>
      </c>
      <c r="H176" s="99">
        <f t="shared" si="15"/>
        <v>0</v>
      </c>
      <c r="I176" s="99">
        <f t="shared" si="13"/>
        <v>-1465776</v>
      </c>
      <c r="J176" s="99">
        <f t="shared" si="16"/>
        <v>0</v>
      </c>
      <c r="K176" s="99">
        <f t="shared" si="17"/>
        <v>-1465776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155</v>
      </c>
      <c r="H177" s="99">
        <f t="shared" si="15"/>
        <v>0</v>
      </c>
      <c r="I177" s="99">
        <f t="shared" si="13"/>
        <v>-6711500</v>
      </c>
      <c r="J177" s="99">
        <f t="shared" si="16"/>
        <v>0</v>
      </c>
      <c r="K177" s="99">
        <f t="shared" si="17"/>
        <v>-6711500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152</v>
      </c>
      <c r="H178" s="99">
        <f t="shared" si="15"/>
        <v>1</v>
      </c>
      <c r="I178" s="99">
        <f t="shared" si="13"/>
        <v>54360000</v>
      </c>
      <c r="J178" s="99">
        <f t="shared" si="16"/>
        <v>0</v>
      </c>
      <c r="K178" s="99">
        <f t="shared" si="17"/>
        <v>54360000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150</v>
      </c>
      <c r="H179" s="99">
        <f t="shared" si="15"/>
        <v>1</v>
      </c>
      <c r="I179" s="99">
        <f t="shared" si="13"/>
        <v>447000000</v>
      </c>
      <c r="J179" s="99">
        <f t="shared" si="16"/>
        <v>0</v>
      </c>
      <c r="K179" s="99">
        <f t="shared" si="17"/>
        <v>447000000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150</v>
      </c>
      <c r="H180" s="99">
        <f t="shared" si="15"/>
        <v>0</v>
      </c>
      <c r="I180" s="99">
        <f t="shared" si="13"/>
        <v>-1807500</v>
      </c>
      <c r="J180" s="99">
        <f t="shared" si="16"/>
        <v>0</v>
      </c>
      <c r="K180" s="99">
        <f t="shared" si="17"/>
        <v>-1807500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148</v>
      </c>
      <c r="H181" s="99">
        <f t="shared" si="15"/>
        <v>1</v>
      </c>
      <c r="I181" s="99">
        <f t="shared" si="13"/>
        <v>441000000</v>
      </c>
      <c r="J181" s="99">
        <f t="shared" si="16"/>
        <v>0</v>
      </c>
      <c r="K181" s="99">
        <f t="shared" si="17"/>
        <v>441000000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146</v>
      </c>
      <c r="H182" s="99">
        <f t="shared" si="15"/>
        <v>0</v>
      </c>
      <c r="I182" s="99">
        <f t="shared" si="13"/>
        <v>-5226800</v>
      </c>
      <c r="J182" s="99">
        <f t="shared" si="16"/>
        <v>0</v>
      </c>
      <c r="K182" s="99">
        <f t="shared" si="17"/>
        <v>-5226800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145</v>
      </c>
      <c r="H183" s="99">
        <f t="shared" si="15"/>
        <v>1</v>
      </c>
      <c r="I183" s="99">
        <f t="shared" si="13"/>
        <v>518400000</v>
      </c>
      <c r="J183" s="99">
        <f t="shared" si="16"/>
        <v>0</v>
      </c>
      <c r="K183" s="99">
        <f t="shared" si="17"/>
        <v>518400000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145</v>
      </c>
      <c r="H184" s="99">
        <f t="shared" si="15"/>
        <v>0</v>
      </c>
      <c r="I184" s="99">
        <f t="shared" si="13"/>
        <v>-4839665</v>
      </c>
      <c r="J184" s="99">
        <f t="shared" si="16"/>
        <v>0</v>
      </c>
      <c r="K184" s="99">
        <f t="shared" si="17"/>
        <v>-4839665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142</v>
      </c>
      <c r="H185" s="99">
        <f t="shared" si="15"/>
        <v>0</v>
      </c>
      <c r="I185" s="99">
        <f t="shared" si="13"/>
        <v>-1391600000</v>
      </c>
      <c r="J185" s="99">
        <f t="shared" si="16"/>
        <v>0</v>
      </c>
      <c r="K185" s="99">
        <f t="shared" si="17"/>
        <v>-1391600000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142</v>
      </c>
      <c r="H186" s="99">
        <f t="shared" si="15"/>
        <v>1</v>
      </c>
      <c r="I186" s="99">
        <f t="shared" si="13"/>
        <v>2538000000</v>
      </c>
      <c r="J186" s="99">
        <f t="shared" si="16"/>
        <v>0</v>
      </c>
      <c r="K186" s="99">
        <f t="shared" si="17"/>
        <v>2538000000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142</v>
      </c>
      <c r="H187" s="99">
        <f t="shared" si="15"/>
        <v>0</v>
      </c>
      <c r="I187" s="99">
        <f t="shared" si="13"/>
        <v>-1278000000</v>
      </c>
      <c r="J187" s="99">
        <f t="shared" si="16"/>
        <v>0</v>
      </c>
      <c r="K187" s="99">
        <f t="shared" si="17"/>
        <v>-1278000000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142</v>
      </c>
      <c r="H188" s="99">
        <f t="shared" si="15"/>
        <v>0</v>
      </c>
      <c r="I188" s="99">
        <f t="shared" si="13"/>
        <v>-1647200</v>
      </c>
      <c r="J188" s="99">
        <f t="shared" si="16"/>
        <v>0</v>
      </c>
      <c r="K188" s="99">
        <f t="shared" si="17"/>
        <v>-1647200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142</v>
      </c>
      <c r="H189" s="99">
        <f t="shared" si="15"/>
        <v>0</v>
      </c>
      <c r="I189" s="99">
        <f t="shared" si="13"/>
        <v>-469214434</v>
      </c>
      <c r="J189" s="99">
        <f t="shared" si="16"/>
        <v>0</v>
      </c>
      <c r="K189" s="99">
        <f t="shared" si="17"/>
        <v>-469214434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141</v>
      </c>
      <c r="H190" s="99">
        <f t="shared" si="15"/>
        <v>0</v>
      </c>
      <c r="I190" s="99">
        <f t="shared" si="13"/>
        <v>-423126900</v>
      </c>
      <c r="J190" s="99">
        <f t="shared" si="16"/>
        <v>0</v>
      </c>
      <c r="K190" s="99">
        <f t="shared" si="17"/>
        <v>-423126900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140</v>
      </c>
      <c r="H191" s="99">
        <f t="shared" si="15"/>
        <v>0</v>
      </c>
      <c r="I191" s="99">
        <f t="shared" si="13"/>
        <v>-386526000</v>
      </c>
      <c r="J191" s="99">
        <f t="shared" si="16"/>
        <v>0</v>
      </c>
      <c r="K191" s="99">
        <f t="shared" si="17"/>
        <v>-386526000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135</v>
      </c>
      <c r="H192" s="99">
        <f t="shared" si="15"/>
        <v>1</v>
      </c>
      <c r="I192" s="99">
        <f t="shared" si="13"/>
        <v>134000000</v>
      </c>
      <c r="J192" s="99">
        <f t="shared" si="16"/>
        <v>0</v>
      </c>
      <c r="K192" s="99">
        <f t="shared" si="17"/>
        <v>134000000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134</v>
      </c>
      <c r="H193" s="99">
        <f t="shared" si="15"/>
        <v>0</v>
      </c>
      <c r="I193" s="99">
        <f t="shared" si="13"/>
        <v>-2010000</v>
      </c>
      <c r="J193" s="99">
        <f t="shared" si="16"/>
        <v>0</v>
      </c>
      <c r="K193" s="99">
        <f t="shared" si="17"/>
        <v>-2010000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132</v>
      </c>
      <c r="H194" s="99">
        <f t="shared" si="15"/>
        <v>0</v>
      </c>
      <c r="I194" s="99">
        <f t="shared" si="13"/>
        <v>-130680000</v>
      </c>
      <c r="J194" s="99">
        <f t="shared" si="16"/>
        <v>0</v>
      </c>
      <c r="K194" s="99">
        <f t="shared" si="17"/>
        <v>-130680000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132</v>
      </c>
      <c r="H195" s="99">
        <f t="shared" si="15"/>
        <v>1</v>
      </c>
      <c r="I195" s="99">
        <f t="shared" si="13"/>
        <v>102573000</v>
      </c>
      <c r="J195" s="99">
        <f t="shared" si="16"/>
        <v>0</v>
      </c>
      <c r="K195" s="99">
        <f t="shared" si="17"/>
        <v>102573000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130</v>
      </c>
      <c r="H196" s="99">
        <f t="shared" si="15"/>
        <v>0</v>
      </c>
      <c r="I196" s="99">
        <f t="shared" si="13"/>
        <v>-97565000</v>
      </c>
      <c r="J196" s="99">
        <f t="shared" si="16"/>
        <v>0</v>
      </c>
      <c r="K196" s="99">
        <f t="shared" si="17"/>
        <v>-97565000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128</v>
      </c>
      <c r="H197" s="99">
        <f t="shared" si="15"/>
        <v>1</v>
      </c>
      <c r="I197" s="99">
        <f t="shared" si="13"/>
        <v>88900000</v>
      </c>
      <c r="J197" s="99">
        <f t="shared" si="16"/>
        <v>0</v>
      </c>
      <c r="K197" s="99">
        <f t="shared" si="17"/>
        <v>88900000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128</v>
      </c>
      <c r="H198" s="99">
        <f t="shared" si="15"/>
        <v>0</v>
      </c>
      <c r="I198" s="99">
        <f t="shared" si="13"/>
        <v>-12672000</v>
      </c>
      <c r="J198" s="99">
        <f t="shared" si="16"/>
        <v>0</v>
      </c>
      <c r="K198" s="99">
        <f t="shared" si="17"/>
        <v>-12672000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127</v>
      </c>
      <c r="H199" s="99">
        <f t="shared" si="15"/>
        <v>0</v>
      </c>
      <c r="I199" s="99">
        <f t="shared" si="13"/>
        <v>-26130250</v>
      </c>
      <c r="J199" s="99">
        <f t="shared" si="16"/>
        <v>0</v>
      </c>
      <c r="K199" s="99">
        <f t="shared" si="17"/>
        <v>-26130250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127</v>
      </c>
      <c r="H200" s="99">
        <f t="shared" si="15"/>
        <v>0</v>
      </c>
      <c r="I200" s="99">
        <f t="shared" si="13"/>
        <v>-12065000</v>
      </c>
      <c r="J200" s="99">
        <f t="shared" si="16"/>
        <v>0</v>
      </c>
      <c r="K200" s="99">
        <f t="shared" si="17"/>
        <v>-12065000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124</v>
      </c>
      <c r="H201" s="99">
        <f t="shared" si="15"/>
        <v>1</v>
      </c>
      <c r="I201" s="99">
        <f t="shared" si="13"/>
        <v>5983950000</v>
      </c>
      <c r="J201" s="99">
        <f t="shared" si="16"/>
        <v>0</v>
      </c>
      <c r="K201" s="99">
        <f t="shared" si="17"/>
        <v>5983950000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124</v>
      </c>
      <c r="H202" s="99">
        <f t="shared" si="15"/>
        <v>0</v>
      </c>
      <c r="I202" s="99">
        <f t="shared" si="13"/>
        <v>-372111600</v>
      </c>
      <c r="J202" s="99">
        <f t="shared" si="16"/>
        <v>0</v>
      </c>
      <c r="K202" s="99">
        <f t="shared" si="17"/>
        <v>-372111600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124</v>
      </c>
      <c r="H203" s="99">
        <f t="shared" si="15"/>
        <v>0</v>
      </c>
      <c r="I203" s="99">
        <f t="shared" si="13"/>
        <v>-620000</v>
      </c>
      <c r="J203" s="99">
        <f t="shared" si="16"/>
        <v>0</v>
      </c>
      <c r="K203" s="99">
        <f t="shared" si="17"/>
        <v>-620000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124</v>
      </c>
      <c r="H204" s="99">
        <f t="shared" si="15"/>
        <v>0</v>
      </c>
      <c r="I204" s="99">
        <f t="shared" si="13"/>
        <v>-4154000000</v>
      </c>
      <c r="J204" s="99">
        <f t="shared" si="16"/>
        <v>0</v>
      </c>
      <c r="K204" s="99">
        <f t="shared" si="17"/>
        <v>-4154000000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123</v>
      </c>
      <c r="H205" s="99">
        <f t="shared" si="15"/>
        <v>0</v>
      </c>
      <c r="I205" s="99">
        <f t="shared" si="13"/>
        <v>-1529505000</v>
      </c>
      <c r="J205" s="99">
        <f t="shared" si="16"/>
        <v>0</v>
      </c>
      <c r="K205" s="99">
        <f t="shared" si="17"/>
        <v>-1529505000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120</v>
      </c>
      <c r="H206" s="99">
        <f t="shared" si="15"/>
        <v>0</v>
      </c>
      <c r="I206" s="99">
        <f t="shared" si="13"/>
        <v>-2220000</v>
      </c>
      <c r="J206" s="99">
        <f t="shared" si="16"/>
        <v>0</v>
      </c>
      <c r="K206" s="99">
        <f t="shared" si="17"/>
        <v>-2220000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118</v>
      </c>
      <c r="H207" s="99">
        <f t="shared" si="15"/>
        <v>1</v>
      </c>
      <c r="I207" s="99">
        <f t="shared" si="13"/>
        <v>1694160</v>
      </c>
      <c r="J207" s="99">
        <f t="shared" ref="J207:J298" si="20">C207*(G207-H207)</f>
        <v>8292258</v>
      </c>
      <c r="K207" s="99">
        <f t="shared" si="17"/>
        <v>-6598098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117</v>
      </c>
      <c r="H208" s="99">
        <f t="shared" si="15"/>
        <v>1</v>
      </c>
      <c r="I208" s="99">
        <f t="shared" si="13"/>
        <v>96280000</v>
      </c>
      <c r="J208" s="99">
        <f t="shared" si="20"/>
        <v>0</v>
      </c>
      <c r="K208" s="99">
        <f t="shared" si="17"/>
        <v>96280000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115</v>
      </c>
      <c r="H209" s="99">
        <f t="shared" si="15"/>
        <v>0</v>
      </c>
      <c r="I209" s="99">
        <f t="shared" si="13"/>
        <v>-6030600</v>
      </c>
      <c r="J209" s="99">
        <f t="shared" si="20"/>
        <v>0</v>
      </c>
      <c r="K209" s="99">
        <f t="shared" si="17"/>
        <v>-6030600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114</v>
      </c>
      <c r="H210" s="99">
        <f t="shared" si="15"/>
        <v>0</v>
      </c>
      <c r="I210" s="99">
        <f t="shared" si="13"/>
        <v>-5825400</v>
      </c>
      <c r="J210" s="99">
        <f t="shared" si="20"/>
        <v>0</v>
      </c>
      <c r="K210" s="99">
        <f t="shared" si="17"/>
        <v>-5825400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113</v>
      </c>
      <c r="H211" s="99">
        <f t="shared" si="15"/>
        <v>0</v>
      </c>
      <c r="I211" s="99">
        <f t="shared" si="13"/>
        <v>-22600000</v>
      </c>
      <c r="J211" s="99">
        <f t="shared" si="20"/>
        <v>0</v>
      </c>
      <c r="K211" s="99">
        <f t="shared" si="17"/>
        <v>-22600000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112</v>
      </c>
      <c r="H212" s="99">
        <f t="shared" si="15"/>
        <v>0</v>
      </c>
      <c r="I212" s="99">
        <f t="shared" si="13"/>
        <v>-3136000</v>
      </c>
      <c r="J212" s="99">
        <f t="shared" si="20"/>
        <v>0</v>
      </c>
      <c r="K212" s="99">
        <f t="shared" si="17"/>
        <v>-3136000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111</v>
      </c>
      <c r="H213" s="99">
        <f t="shared" si="15"/>
        <v>0</v>
      </c>
      <c r="I213" s="99">
        <f t="shared" si="13"/>
        <v>-6560100</v>
      </c>
      <c r="J213" s="99">
        <f t="shared" si="20"/>
        <v>0</v>
      </c>
      <c r="K213" s="99">
        <f t="shared" si="17"/>
        <v>-6560100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110</v>
      </c>
      <c r="H214" s="99">
        <f t="shared" si="15"/>
        <v>0</v>
      </c>
      <c r="I214" s="99">
        <f t="shared" si="13"/>
        <v>-3300000</v>
      </c>
      <c r="J214" s="99">
        <f t="shared" si="20"/>
        <v>0</v>
      </c>
      <c r="K214" s="99">
        <f t="shared" si="17"/>
        <v>-3300000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110</v>
      </c>
      <c r="H215" s="99">
        <f t="shared" si="15"/>
        <v>0</v>
      </c>
      <c r="I215" s="99">
        <f t="shared" si="13"/>
        <v>-19580000</v>
      </c>
      <c r="J215" s="99">
        <f t="shared" si="20"/>
        <v>0</v>
      </c>
      <c r="K215" s="99">
        <f t="shared" si="17"/>
        <v>-19580000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109</v>
      </c>
      <c r="H216" s="99">
        <f t="shared" si="15"/>
        <v>0</v>
      </c>
      <c r="I216" s="99">
        <f t="shared" si="13"/>
        <v>-10421490</v>
      </c>
      <c r="J216" s="99">
        <f t="shared" si="20"/>
        <v>0</v>
      </c>
      <c r="K216" s="99">
        <f t="shared" si="17"/>
        <v>-10421490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106</v>
      </c>
      <c r="H217" s="99">
        <f t="shared" si="15"/>
        <v>0</v>
      </c>
      <c r="I217" s="99">
        <f t="shared" si="13"/>
        <v>-8904000</v>
      </c>
      <c r="J217" s="99">
        <f t="shared" si="20"/>
        <v>0</v>
      </c>
      <c r="K217" s="99">
        <f t="shared" si="17"/>
        <v>-8904000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104</v>
      </c>
      <c r="H218" s="99">
        <f t="shared" si="15"/>
        <v>0</v>
      </c>
      <c r="I218" s="99">
        <f t="shared" si="13"/>
        <v>-3432000</v>
      </c>
      <c r="J218" s="99">
        <f t="shared" si="20"/>
        <v>0</v>
      </c>
      <c r="K218" s="99">
        <f t="shared" si="17"/>
        <v>-3432000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101</v>
      </c>
      <c r="H219" s="99">
        <f t="shared" si="15"/>
        <v>1</v>
      </c>
      <c r="I219" s="99">
        <f t="shared" si="13"/>
        <v>154800000</v>
      </c>
      <c r="J219" s="99">
        <f t="shared" si="20"/>
        <v>0</v>
      </c>
      <c r="K219" s="99">
        <f t="shared" si="17"/>
        <v>154800000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100</v>
      </c>
      <c r="H220" s="99">
        <f t="shared" si="15"/>
        <v>0</v>
      </c>
      <c r="I220" s="99">
        <f t="shared" si="13"/>
        <v>-140070000</v>
      </c>
      <c r="J220" s="99">
        <f t="shared" si="20"/>
        <v>0</v>
      </c>
      <c r="K220" s="99">
        <f t="shared" si="17"/>
        <v>-140070000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100</v>
      </c>
      <c r="H221" s="99">
        <f t="shared" si="15"/>
        <v>0</v>
      </c>
      <c r="I221" s="99">
        <f t="shared" si="13"/>
        <v>-1000000</v>
      </c>
      <c r="J221" s="99">
        <f t="shared" si="20"/>
        <v>0</v>
      </c>
      <c r="K221" s="99">
        <f t="shared" si="17"/>
        <v>-1000000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100</v>
      </c>
      <c r="H222" s="99">
        <f t="shared" si="15"/>
        <v>0</v>
      </c>
      <c r="I222" s="99">
        <f t="shared" si="13"/>
        <v>-500000</v>
      </c>
      <c r="J222" s="99">
        <f t="shared" si="20"/>
        <v>-250000</v>
      </c>
      <c r="K222" s="99">
        <f t="shared" si="17"/>
        <v>-250000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94</v>
      </c>
      <c r="H223" s="99">
        <f t="shared" si="15"/>
        <v>0</v>
      </c>
      <c r="I223" s="99">
        <f t="shared" si="13"/>
        <v>-17860000</v>
      </c>
      <c r="J223" s="99">
        <f t="shared" si="20"/>
        <v>0</v>
      </c>
      <c r="K223" s="99">
        <f t="shared" si="17"/>
        <v>-17860000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87</v>
      </c>
      <c r="H224" s="99">
        <f t="shared" si="15"/>
        <v>1</v>
      </c>
      <c r="I224" s="99">
        <f t="shared" si="13"/>
        <v>164346</v>
      </c>
      <c r="J224" s="99">
        <f t="shared" si="20"/>
        <v>5587592</v>
      </c>
      <c r="K224" s="99">
        <f t="shared" si="17"/>
        <v>-5423246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81</v>
      </c>
      <c r="H225" s="99">
        <f t="shared" si="15"/>
        <v>1</v>
      </c>
      <c r="I225" s="99">
        <f t="shared" si="13"/>
        <v>400000000</v>
      </c>
      <c r="J225" s="99">
        <f t="shared" si="20"/>
        <v>0</v>
      </c>
      <c r="K225" s="99">
        <f t="shared" si="17"/>
        <v>400000000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80</v>
      </c>
      <c r="H226" s="99">
        <f t="shared" si="15"/>
        <v>0</v>
      </c>
      <c r="I226" s="99">
        <f t="shared" si="13"/>
        <v>-256000000</v>
      </c>
      <c r="J226" s="99">
        <f t="shared" si="20"/>
        <v>0</v>
      </c>
      <c r="K226" s="99">
        <f t="shared" si="17"/>
        <v>-256000000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80</v>
      </c>
      <c r="H227" s="99">
        <f t="shared" si="15"/>
        <v>1</v>
      </c>
      <c r="I227" s="99">
        <f t="shared" si="13"/>
        <v>189600000</v>
      </c>
      <c r="J227" s="99">
        <f t="shared" si="20"/>
        <v>0</v>
      </c>
      <c r="K227" s="99">
        <f t="shared" si="17"/>
        <v>189600000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78</v>
      </c>
      <c r="H228" s="99">
        <f t="shared" si="15"/>
        <v>0</v>
      </c>
      <c r="I228" s="99">
        <f t="shared" si="13"/>
        <v>-3900000</v>
      </c>
      <c r="J228" s="99">
        <f t="shared" si="20"/>
        <v>0</v>
      </c>
      <c r="K228" s="99">
        <f t="shared" si="17"/>
        <v>-3900000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77</v>
      </c>
      <c r="H229" s="99">
        <f t="shared" si="15"/>
        <v>0</v>
      </c>
      <c r="I229" s="99">
        <f t="shared" si="13"/>
        <v>-315753900</v>
      </c>
      <c r="J229" s="99">
        <f t="shared" si="20"/>
        <v>0</v>
      </c>
      <c r="K229" s="99">
        <f t="shared" si="17"/>
        <v>-315753900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73</v>
      </c>
      <c r="H230" s="99">
        <f t="shared" si="15"/>
        <v>1</v>
      </c>
      <c r="I230" s="99">
        <f t="shared" si="13"/>
        <v>698400000</v>
      </c>
      <c r="J230" s="99">
        <f t="shared" si="20"/>
        <v>0</v>
      </c>
      <c r="K230" s="99">
        <f t="shared" si="17"/>
        <v>698400000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73</v>
      </c>
      <c r="H231" s="99">
        <f t="shared" si="15"/>
        <v>0</v>
      </c>
      <c r="I231" s="99">
        <f t="shared" si="13"/>
        <v>-219065700</v>
      </c>
      <c r="J231" s="99">
        <f t="shared" si="20"/>
        <v>0</v>
      </c>
      <c r="K231" s="99">
        <f t="shared" si="17"/>
        <v>-219065700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72</v>
      </c>
      <c r="H232" s="99">
        <f t="shared" si="15"/>
        <v>0</v>
      </c>
      <c r="I232" s="99">
        <f t="shared" si="13"/>
        <v>-216064800</v>
      </c>
      <c r="J232" s="99">
        <f t="shared" si="20"/>
        <v>0</v>
      </c>
      <c r="K232" s="99">
        <f t="shared" si="17"/>
        <v>-216064800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72</v>
      </c>
      <c r="H233" s="99">
        <f t="shared" si="15"/>
        <v>0</v>
      </c>
      <c r="I233" s="99">
        <f t="shared" si="13"/>
        <v>-39960000</v>
      </c>
      <c r="J233" s="99">
        <f t="shared" si="20"/>
        <v>0</v>
      </c>
      <c r="K233" s="99">
        <f t="shared" si="17"/>
        <v>-39960000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71</v>
      </c>
      <c r="H234" s="99">
        <f t="shared" si="15"/>
        <v>0</v>
      </c>
      <c r="I234" s="99">
        <f t="shared" si="13"/>
        <v>-9823560</v>
      </c>
      <c r="J234" s="99">
        <f t="shared" si="20"/>
        <v>0</v>
      </c>
      <c r="K234" s="99">
        <f t="shared" si="17"/>
        <v>-9823560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70</v>
      </c>
      <c r="H235" s="99">
        <f t="shared" si="15"/>
        <v>0</v>
      </c>
      <c r="I235" s="99">
        <f t="shared" si="13"/>
        <v>-210063000</v>
      </c>
      <c r="J235" s="99">
        <f t="shared" si="20"/>
        <v>0</v>
      </c>
      <c r="K235" s="99">
        <f t="shared" si="17"/>
        <v>-210063000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68</v>
      </c>
      <c r="H236" s="99">
        <f t="shared" si="15"/>
        <v>0</v>
      </c>
      <c r="I236" s="99">
        <f t="shared" si="13"/>
        <v>-3740000</v>
      </c>
      <c r="J236" s="99">
        <f t="shared" si="20"/>
        <v>0</v>
      </c>
      <c r="K236" s="99">
        <f t="shared" si="17"/>
        <v>-3740000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64</v>
      </c>
      <c r="H237" s="99">
        <f t="shared" si="15"/>
        <v>1</v>
      </c>
      <c r="I237" s="99">
        <f t="shared" si="13"/>
        <v>380205000</v>
      </c>
      <c r="J237" s="99">
        <f t="shared" si="20"/>
        <v>0</v>
      </c>
      <c r="K237" s="99">
        <f t="shared" si="17"/>
        <v>380205000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62</v>
      </c>
      <c r="H238" s="99">
        <f t="shared" si="15"/>
        <v>0</v>
      </c>
      <c r="I238" s="99">
        <f t="shared" si="13"/>
        <v>-465000</v>
      </c>
      <c r="J238" s="99">
        <f t="shared" si="20"/>
        <v>0</v>
      </c>
      <c r="K238" s="99">
        <f t="shared" si="17"/>
        <v>-465000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61</v>
      </c>
      <c r="H239" s="99">
        <f t="shared" si="15"/>
        <v>0</v>
      </c>
      <c r="I239" s="99">
        <f t="shared" si="13"/>
        <v>-250009903</v>
      </c>
      <c r="J239" s="99">
        <f t="shared" si="20"/>
        <v>0</v>
      </c>
      <c r="K239" s="99">
        <f t="shared" si="17"/>
        <v>-250009903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61</v>
      </c>
      <c r="H240" s="99">
        <f t="shared" si="15"/>
        <v>0</v>
      </c>
      <c r="I240" s="99">
        <f t="shared" si="13"/>
        <v>-2026725</v>
      </c>
      <c r="J240" s="99">
        <f t="shared" si="20"/>
        <v>0</v>
      </c>
      <c r="K240" s="99">
        <f t="shared" si="17"/>
        <v>-2026725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61</v>
      </c>
      <c r="H241" s="99">
        <f t="shared" si="15"/>
        <v>0</v>
      </c>
      <c r="I241" s="99">
        <f t="shared" si="13"/>
        <v>-115595000</v>
      </c>
      <c r="J241" s="99">
        <f t="shared" si="20"/>
        <v>0</v>
      </c>
      <c r="K241" s="99">
        <f t="shared" si="17"/>
        <v>-115595000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54</v>
      </c>
      <c r="H242" s="99">
        <f t="shared" si="15"/>
        <v>1</v>
      </c>
      <c r="I242" s="99">
        <f t="shared" si="13"/>
        <v>132500000</v>
      </c>
      <c r="J242" s="99">
        <f t="shared" si="20"/>
        <v>0</v>
      </c>
      <c r="K242" s="99">
        <f t="shared" si="17"/>
        <v>132500000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52</v>
      </c>
      <c r="H243" s="99">
        <f t="shared" si="15"/>
        <v>0</v>
      </c>
      <c r="I243" s="99">
        <f t="shared" si="13"/>
        <v>-130000000</v>
      </c>
      <c r="J243" s="99">
        <f t="shared" si="20"/>
        <v>0</v>
      </c>
      <c r="K243" s="99">
        <f t="shared" si="17"/>
        <v>-130000000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50</v>
      </c>
      <c r="H244" s="99">
        <f t="shared" si="15"/>
        <v>1</v>
      </c>
      <c r="I244" s="99">
        <f t="shared" si="13"/>
        <v>53900000</v>
      </c>
      <c r="J244" s="99">
        <f t="shared" si="20"/>
        <v>0</v>
      </c>
      <c r="K244" s="99">
        <f t="shared" si="17"/>
        <v>53900000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48</v>
      </c>
      <c r="H245" s="99">
        <f t="shared" si="15"/>
        <v>1</v>
      </c>
      <c r="I245" s="99">
        <f t="shared" si="13"/>
        <v>141000000</v>
      </c>
      <c r="J245" s="99">
        <f t="shared" si="20"/>
        <v>0</v>
      </c>
      <c r="K245" s="99">
        <f t="shared" si="17"/>
        <v>141000000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46</v>
      </c>
      <c r="H246" s="99">
        <f t="shared" si="15"/>
        <v>0</v>
      </c>
      <c r="I246" s="99">
        <f t="shared" si="13"/>
        <v>-185872200</v>
      </c>
      <c r="J246" s="99">
        <f t="shared" si="20"/>
        <v>0</v>
      </c>
      <c r="K246" s="99">
        <f t="shared" si="17"/>
        <v>-185872200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46</v>
      </c>
      <c r="H247" s="99">
        <f t="shared" si="15"/>
        <v>1</v>
      </c>
      <c r="I247" s="99">
        <f t="shared" si="13"/>
        <v>22050000</v>
      </c>
      <c r="J247" s="99">
        <f t="shared" si="20"/>
        <v>0</v>
      </c>
      <c r="K247" s="99">
        <f t="shared" si="17"/>
        <v>22050000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45</v>
      </c>
      <c r="H248" s="99">
        <f t="shared" si="15"/>
        <v>1</v>
      </c>
      <c r="I248" s="99">
        <f t="shared" si="13"/>
        <v>61600000</v>
      </c>
      <c r="J248" s="99">
        <f t="shared" si="20"/>
        <v>0</v>
      </c>
      <c r="K248" s="99">
        <f t="shared" si="17"/>
        <v>61600000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45</v>
      </c>
      <c r="H249" s="99">
        <f t="shared" si="15"/>
        <v>0</v>
      </c>
      <c r="I249" s="99">
        <f t="shared" si="13"/>
        <v>-67500000</v>
      </c>
      <c r="J249" s="99">
        <f t="shared" si="20"/>
        <v>0</v>
      </c>
      <c r="K249" s="99">
        <f t="shared" si="17"/>
        <v>-67500000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44</v>
      </c>
      <c r="H250" s="99">
        <f t="shared" si="15"/>
        <v>0</v>
      </c>
      <c r="I250" s="99">
        <f t="shared" si="13"/>
        <v>-4400000</v>
      </c>
      <c r="J250" s="99">
        <f t="shared" si="20"/>
        <v>0</v>
      </c>
      <c r="K250" s="99">
        <f t="shared" si="17"/>
        <v>-4400000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43</v>
      </c>
      <c r="H251" s="99">
        <f t="shared" si="15"/>
        <v>0</v>
      </c>
      <c r="I251" s="99">
        <f t="shared" si="13"/>
        <v>-597700</v>
      </c>
      <c r="J251" s="99">
        <f t="shared" si="20"/>
        <v>0</v>
      </c>
      <c r="K251" s="99">
        <f t="shared" si="17"/>
        <v>-597700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43</v>
      </c>
      <c r="H252" s="99">
        <f t="shared" si="15"/>
        <v>1</v>
      </c>
      <c r="I252" s="99">
        <f t="shared" si="13"/>
        <v>12600000</v>
      </c>
      <c r="J252" s="99">
        <f t="shared" si="20"/>
        <v>0</v>
      </c>
      <c r="K252" s="99">
        <f t="shared" si="17"/>
        <v>12600000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41</v>
      </c>
      <c r="H253" s="99">
        <f t="shared" si="15"/>
        <v>1</v>
      </c>
      <c r="I253" s="99">
        <f t="shared" si="13"/>
        <v>480000000</v>
      </c>
      <c r="J253" s="99">
        <f t="shared" si="20"/>
        <v>0</v>
      </c>
      <c r="K253" s="99">
        <f t="shared" si="17"/>
        <v>480000000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40</v>
      </c>
      <c r="H254" s="99">
        <f t="shared" si="15"/>
        <v>1</v>
      </c>
      <c r="I254" s="99">
        <f t="shared" si="13"/>
        <v>117000000</v>
      </c>
      <c r="J254" s="99">
        <f t="shared" si="20"/>
        <v>0</v>
      </c>
      <c r="K254" s="99">
        <f t="shared" si="17"/>
        <v>117000000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39</v>
      </c>
      <c r="H255" s="99">
        <f t="shared" si="15"/>
        <v>0</v>
      </c>
      <c r="I255" s="99">
        <f t="shared" si="13"/>
        <v>-546000000</v>
      </c>
      <c r="J255" s="99">
        <f t="shared" si="20"/>
        <v>0</v>
      </c>
      <c r="K255" s="99">
        <f t="shared" si="17"/>
        <v>-546000000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38</v>
      </c>
      <c r="H256" s="99">
        <f t="shared" si="15"/>
        <v>0</v>
      </c>
      <c r="I256" s="99">
        <f t="shared" si="13"/>
        <v>-4748822</v>
      </c>
      <c r="J256" s="99">
        <f t="shared" si="20"/>
        <v>0</v>
      </c>
      <c r="K256" s="99">
        <f t="shared" si="17"/>
        <v>-4748822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38</v>
      </c>
      <c r="H257" s="99">
        <f t="shared" si="15"/>
        <v>0</v>
      </c>
      <c r="I257" s="99">
        <f t="shared" si="13"/>
        <v>0</v>
      </c>
      <c r="J257" s="99">
        <f t="shared" si="20"/>
        <v>-302813982</v>
      </c>
      <c r="K257" s="99">
        <f t="shared" si="17"/>
        <v>302813982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37</v>
      </c>
      <c r="H258" s="99">
        <f t="shared" si="15"/>
        <v>0</v>
      </c>
      <c r="I258" s="99">
        <f t="shared" si="13"/>
        <v>-48581000</v>
      </c>
      <c r="J258" s="99">
        <f t="shared" si="20"/>
        <v>0</v>
      </c>
      <c r="K258" s="99">
        <f t="shared" si="17"/>
        <v>-48581000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34</v>
      </c>
      <c r="H259" s="99">
        <f t="shared" si="15"/>
        <v>1</v>
      </c>
      <c r="I259" s="99">
        <f t="shared" si="13"/>
        <v>66000000</v>
      </c>
      <c r="J259" s="99">
        <f t="shared" si="20"/>
        <v>0</v>
      </c>
      <c r="K259" s="99">
        <f t="shared" si="17"/>
        <v>66000000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33</v>
      </c>
      <c r="H260" s="99">
        <f t="shared" si="15"/>
        <v>0</v>
      </c>
      <c r="I260" s="99">
        <f t="shared" si="13"/>
        <v>-62700000</v>
      </c>
      <c r="J260" s="99">
        <f t="shared" si="20"/>
        <v>0</v>
      </c>
      <c r="K260" s="99">
        <f t="shared" si="17"/>
        <v>-62700000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33</v>
      </c>
      <c r="H261" s="99">
        <f t="shared" si="15"/>
        <v>0</v>
      </c>
      <c r="I261" s="99">
        <f t="shared" si="13"/>
        <v>-3316500</v>
      </c>
      <c r="J261" s="99">
        <f t="shared" si="20"/>
        <v>0</v>
      </c>
      <c r="K261" s="99">
        <f t="shared" si="17"/>
        <v>-3316500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33</v>
      </c>
      <c r="H262" s="99">
        <f t="shared" si="15"/>
        <v>0</v>
      </c>
      <c r="I262" s="99">
        <f t="shared" si="13"/>
        <v>-2266110</v>
      </c>
      <c r="J262" s="99">
        <f t="shared" si="20"/>
        <v>0</v>
      </c>
      <c r="K262" s="99">
        <f t="shared" si="17"/>
        <v>-2266110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32</v>
      </c>
      <c r="H263" s="99">
        <f t="shared" si="15"/>
        <v>0</v>
      </c>
      <c r="I263" s="99">
        <f t="shared" si="13"/>
        <v>-3795200</v>
      </c>
      <c r="J263" s="99">
        <f t="shared" si="20"/>
        <v>0</v>
      </c>
      <c r="K263" s="99">
        <f t="shared" si="17"/>
        <v>-3795200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30</v>
      </c>
      <c r="H264" s="99">
        <f t="shared" si="15"/>
        <v>1</v>
      </c>
      <c r="I264" s="99">
        <f t="shared" si="13"/>
        <v>196591000</v>
      </c>
      <c r="J264" s="99">
        <f t="shared" si="20"/>
        <v>0</v>
      </c>
      <c r="K264" s="99">
        <f t="shared" si="17"/>
        <v>196591000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30</v>
      </c>
      <c r="H265" s="99">
        <f t="shared" si="15"/>
        <v>0</v>
      </c>
      <c r="I265" s="99">
        <f t="shared" si="13"/>
        <v>-192000000</v>
      </c>
      <c r="J265" s="99">
        <f t="shared" si="20"/>
        <v>0</v>
      </c>
      <c r="K265" s="99">
        <f t="shared" si="17"/>
        <v>-192000000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30</v>
      </c>
      <c r="H266" s="99">
        <f t="shared" si="15"/>
        <v>0</v>
      </c>
      <c r="I266" s="99">
        <f t="shared" si="13"/>
        <v>-11670000</v>
      </c>
      <c r="J266" s="99">
        <f t="shared" si="20"/>
        <v>0</v>
      </c>
      <c r="K266" s="99">
        <f t="shared" si="17"/>
        <v>-11670000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26</v>
      </c>
      <c r="H267" s="99">
        <f t="shared" si="15"/>
        <v>1</v>
      </c>
      <c r="I267" s="99">
        <f t="shared" si="13"/>
        <v>5500000</v>
      </c>
      <c r="J267" s="99">
        <f t="shared" si="20"/>
        <v>0</v>
      </c>
      <c r="K267" s="99">
        <f t="shared" si="17"/>
        <v>5500000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26</v>
      </c>
      <c r="H268" s="99">
        <f t="shared" si="15"/>
        <v>0</v>
      </c>
      <c r="I268" s="99">
        <f t="shared" si="13"/>
        <v>-2844140</v>
      </c>
      <c r="J268" s="99">
        <f t="shared" si="20"/>
        <v>0</v>
      </c>
      <c r="K268" s="99">
        <f t="shared" si="17"/>
        <v>-2844140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24</v>
      </c>
      <c r="H269" s="99">
        <f t="shared" si="15"/>
        <v>1</v>
      </c>
      <c r="I269" s="99">
        <f t="shared" si="13"/>
        <v>2300000</v>
      </c>
      <c r="J269" s="99">
        <f t="shared" si="20"/>
        <v>0</v>
      </c>
      <c r="K269" s="99">
        <f t="shared" si="17"/>
        <v>2300000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24</v>
      </c>
      <c r="H270" s="99">
        <f t="shared" si="15"/>
        <v>1</v>
      </c>
      <c r="I270" s="99">
        <f t="shared" si="13"/>
        <v>59800000</v>
      </c>
      <c r="J270" s="99">
        <f t="shared" si="20"/>
        <v>0</v>
      </c>
      <c r="K270" s="99">
        <f t="shared" si="17"/>
        <v>59800000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23</v>
      </c>
      <c r="H271" s="99">
        <f t="shared" si="15"/>
        <v>1</v>
      </c>
      <c r="I271" s="99">
        <f t="shared" si="13"/>
        <v>96800000</v>
      </c>
      <c r="J271" s="99">
        <f t="shared" si="20"/>
        <v>0</v>
      </c>
      <c r="K271" s="99">
        <f t="shared" si="17"/>
        <v>96800000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23</v>
      </c>
      <c r="H272" s="99">
        <f t="shared" si="15"/>
        <v>0</v>
      </c>
      <c r="I272" s="99">
        <f t="shared" si="13"/>
        <v>-2185000</v>
      </c>
      <c r="J272" s="99">
        <f t="shared" si="20"/>
        <v>0</v>
      </c>
      <c r="K272" s="99">
        <f t="shared" si="17"/>
        <v>-2185000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22</v>
      </c>
      <c r="H273" s="99">
        <f t="shared" si="15"/>
        <v>0</v>
      </c>
      <c r="I273" s="99">
        <f t="shared" si="13"/>
        <v>-19800000</v>
      </c>
      <c r="J273" s="99">
        <f t="shared" si="20"/>
        <v>0</v>
      </c>
      <c r="K273" s="99">
        <f t="shared" si="17"/>
        <v>-19800000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21</v>
      </c>
      <c r="H274" s="99">
        <f t="shared" si="15"/>
        <v>1</v>
      </c>
      <c r="I274" s="99">
        <f t="shared" si="13"/>
        <v>50000000</v>
      </c>
      <c r="J274" s="99">
        <f t="shared" si="20"/>
        <v>0</v>
      </c>
      <c r="K274" s="99">
        <f t="shared" si="17"/>
        <v>50000000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21</v>
      </c>
      <c r="H275" s="99">
        <f t="shared" si="15"/>
        <v>0</v>
      </c>
      <c r="I275" s="99">
        <f t="shared" si="13"/>
        <v>-27027000</v>
      </c>
      <c r="J275" s="99">
        <f t="shared" si="20"/>
        <v>0</v>
      </c>
      <c r="K275" s="99">
        <f t="shared" si="17"/>
        <v>-27027000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19</v>
      </c>
      <c r="H276" s="99">
        <f t="shared" si="15"/>
        <v>1</v>
      </c>
      <c r="I276" s="99">
        <f t="shared" si="13"/>
        <v>68400000</v>
      </c>
      <c r="J276" s="99">
        <f t="shared" si="20"/>
        <v>0</v>
      </c>
      <c r="K276" s="99">
        <f t="shared" si="17"/>
        <v>68400000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18</v>
      </c>
      <c r="H277" s="99">
        <f t="shared" si="15"/>
        <v>1</v>
      </c>
      <c r="I277" s="99">
        <f t="shared" si="13"/>
        <v>357000000</v>
      </c>
      <c r="J277" s="99">
        <f t="shared" si="20"/>
        <v>0</v>
      </c>
      <c r="K277" s="99">
        <f t="shared" si="17"/>
        <v>357000000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17</v>
      </c>
      <c r="H278" s="99">
        <f t="shared" si="15"/>
        <v>1</v>
      </c>
      <c r="I278" s="99">
        <f t="shared" si="13"/>
        <v>48000000</v>
      </c>
      <c r="J278" s="99">
        <f t="shared" si="20"/>
        <v>0</v>
      </c>
      <c r="K278" s="99">
        <f t="shared" si="17"/>
        <v>48000000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17</v>
      </c>
      <c r="H279" s="99">
        <f t="shared" si="15"/>
        <v>1</v>
      </c>
      <c r="I279" s="99">
        <f t="shared" si="13"/>
        <v>32000000</v>
      </c>
      <c r="J279" s="99">
        <f t="shared" si="20"/>
        <v>0</v>
      </c>
      <c r="K279" s="99">
        <f t="shared" si="17"/>
        <v>32000000</v>
      </c>
    </row>
    <row r="280" spans="1:12">
      <c r="A280" s="99" t="s">
        <v>4607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16</v>
      </c>
      <c r="H280" s="99">
        <f t="shared" si="15"/>
        <v>0</v>
      </c>
      <c r="I280" s="99">
        <f t="shared" si="13"/>
        <v>-32000000</v>
      </c>
      <c r="J280" s="99">
        <f t="shared" si="20"/>
        <v>0</v>
      </c>
      <c r="K280" s="99">
        <f t="shared" si="17"/>
        <v>-32000000</v>
      </c>
    </row>
    <row r="281" spans="1:12">
      <c r="A281" s="99" t="s">
        <v>4609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15</v>
      </c>
      <c r="H281" s="99">
        <f t="shared" si="15"/>
        <v>0</v>
      </c>
      <c r="I281" s="99">
        <f t="shared" si="13"/>
        <v>-150000000</v>
      </c>
      <c r="J281" s="99">
        <f t="shared" si="20"/>
        <v>0</v>
      </c>
      <c r="K281" s="99">
        <f t="shared" si="17"/>
        <v>-150000000</v>
      </c>
    </row>
    <row r="282" spans="1:12">
      <c r="A282" s="99" t="s">
        <v>4611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11</v>
      </c>
      <c r="H282" s="99">
        <f t="shared" si="15"/>
        <v>0</v>
      </c>
      <c r="I282" s="99">
        <f t="shared" si="13"/>
        <v>-183700000</v>
      </c>
      <c r="J282" s="99">
        <f t="shared" ref="J282:J297" si="22">C282*(G282-H282)</f>
        <v>0</v>
      </c>
      <c r="K282" s="99">
        <f t="shared" ref="K282:K297" si="23">D282*(G282-H282)</f>
        <v>-183700000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9</v>
      </c>
      <c r="H283" s="99">
        <f t="shared" si="15"/>
        <v>1</v>
      </c>
      <c r="I283" s="99">
        <f t="shared" si="13"/>
        <v>96000000</v>
      </c>
      <c r="J283" s="99">
        <f t="shared" si="22"/>
        <v>0</v>
      </c>
      <c r="K283" s="99">
        <f t="shared" si="23"/>
        <v>96000000</v>
      </c>
    </row>
    <row r="284" spans="1:12">
      <c r="A284" s="99" t="s">
        <v>4626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8</v>
      </c>
      <c r="H284" s="99">
        <f t="shared" si="15"/>
        <v>1</v>
      </c>
      <c r="I284" s="99">
        <f t="shared" si="13"/>
        <v>13300000</v>
      </c>
      <c r="J284" s="99">
        <f t="shared" si="22"/>
        <v>0</v>
      </c>
      <c r="K284" s="99">
        <f t="shared" si="23"/>
        <v>13300000</v>
      </c>
    </row>
    <row r="285" spans="1:12">
      <c r="A285" s="99" t="s">
        <v>4626</v>
      </c>
      <c r="B285" s="18">
        <v>-3995000</v>
      </c>
      <c r="C285" s="18">
        <v>0</v>
      </c>
      <c r="D285" s="18">
        <f t="shared" si="18"/>
        <v>-3995000</v>
      </c>
      <c r="E285" s="99" t="s">
        <v>4628</v>
      </c>
      <c r="F285" s="99">
        <v>3</v>
      </c>
      <c r="G285" s="36">
        <f t="shared" si="21"/>
        <v>8</v>
      </c>
      <c r="H285" s="99">
        <f t="shared" si="15"/>
        <v>0</v>
      </c>
      <c r="I285" s="99">
        <f t="shared" si="13"/>
        <v>-31960000</v>
      </c>
      <c r="J285" s="99">
        <f t="shared" si="22"/>
        <v>0</v>
      </c>
      <c r="K285" s="99">
        <f t="shared" si="23"/>
        <v>-31960000</v>
      </c>
    </row>
    <row r="286" spans="1:12">
      <c r="A286" s="99" t="s">
        <v>4636</v>
      </c>
      <c r="B286" s="18">
        <v>-2010700</v>
      </c>
      <c r="C286" s="18">
        <v>0</v>
      </c>
      <c r="D286" s="18">
        <f t="shared" si="18"/>
        <v>-2010700</v>
      </c>
      <c r="E286" s="99" t="s">
        <v>4641</v>
      </c>
      <c r="F286" s="99">
        <v>0</v>
      </c>
      <c r="G286" s="36">
        <f t="shared" si="21"/>
        <v>5</v>
      </c>
      <c r="H286" s="99">
        <f t="shared" si="15"/>
        <v>0</v>
      </c>
      <c r="I286" s="99">
        <f t="shared" si="13"/>
        <v>-10053500</v>
      </c>
      <c r="J286" s="99">
        <f t="shared" si="22"/>
        <v>0</v>
      </c>
      <c r="K286" s="99">
        <f t="shared" si="23"/>
        <v>-10053500</v>
      </c>
    </row>
    <row r="287" spans="1:12">
      <c r="A287" s="99" t="s">
        <v>4636</v>
      </c>
      <c r="B287" s="18">
        <v>-4000000</v>
      </c>
      <c r="C287" s="18">
        <v>0</v>
      </c>
      <c r="D287" s="18">
        <f t="shared" si="18"/>
        <v>-4000000</v>
      </c>
      <c r="E287" s="99" t="s">
        <v>3771</v>
      </c>
      <c r="F287" s="99">
        <v>1</v>
      </c>
      <c r="G287" s="36">
        <f t="shared" si="21"/>
        <v>5</v>
      </c>
      <c r="H287" s="99">
        <f t="shared" si="15"/>
        <v>0</v>
      </c>
      <c r="I287" s="99">
        <f t="shared" si="13"/>
        <v>-20000000</v>
      </c>
      <c r="J287" s="99">
        <f t="shared" si="22"/>
        <v>0</v>
      </c>
      <c r="K287" s="99">
        <f t="shared" si="23"/>
        <v>-20000000</v>
      </c>
    </row>
    <row r="288" spans="1:12">
      <c r="A288" s="99" t="s">
        <v>4643</v>
      </c>
      <c r="B288" s="18">
        <v>-5700000</v>
      </c>
      <c r="C288" s="18">
        <v>0</v>
      </c>
      <c r="D288" s="18">
        <f t="shared" si="18"/>
        <v>-5700000</v>
      </c>
      <c r="E288" s="99" t="s">
        <v>3771</v>
      </c>
      <c r="F288" s="99">
        <v>2</v>
      </c>
      <c r="G288" s="36">
        <f t="shared" si="21"/>
        <v>4</v>
      </c>
      <c r="H288" s="99">
        <f t="shared" si="15"/>
        <v>0</v>
      </c>
      <c r="I288" s="99">
        <f t="shared" si="13"/>
        <v>-22800000</v>
      </c>
      <c r="J288" s="99">
        <f t="shared" si="22"/>
        <v>0</v>
      </c>
      <c r="K288" s="99">
        <f t="shared" si="23"/>
        <v>-22800000</v>
      </c>
      <c r="L288" t="s">
        <v>25</v>
      </c>
    </row>
    <row r="289" spans="1:11">
      <c r="A289" s="99" t="s">
        <v>4656</v>
      </c>
      <c r="B289" s="18">
        <v>8000000</v>
      </c>
      <c r="C289" s="18">
        <v>0</v>
      </c>
      <c r="D289" s="18">
        <f t="shared" si="18"/>
        <v>8000000</v>
      </c>
      <c r="E289" s="99" t="s">
        <v>3892</v>
      </c>
      <c r="F289" s="99">
        <v>1</v>
      </c>
      <c r="G289" s="36">
        <f t="shared" si="21"/>
        <v>2</v>
      </c>
      <c r="H289" s="99">
        <f t="shared" si="15"/>
        <v>1</v>
      </c>
      <c r="I289" s="99">
        <f t="shared" si="13"/>
        <v>8000000</v>
      </c>
      <c r="J289" s="99">
        <f t="shared" si="22"/>
        <v>0</v>
      </c>
      <c r="K289" s="99">
        <f t="shared" si="23"/>
        <v>8000000</v>
      </c>
    </row>
    <row r="290" spans="1:11">
      <c r="A290" s="99" t="s">
        <v>3692</v>
      </c>
      <c r="B290" s="18">
        <v>-8000000</v>
      </c>
      <c r="C290" s="18">
        <v>0</v>
      </c>
      <c r="D290" s="18">
        <f t="shared" si="18"/>
        <v>-8000000</v>
      </c>
      <c r="E290" s="99" t="s">
        <v>3771</v>
      </c>
      <c r="F290" s="99">
        <v>1</v>
      </c>
      <c r="G290" s="36">
        <f t="shared" si="21"/>
        <v>1</v>
      </c>
      <c r="H290" s="99">
        <f t="shared" si="15"/>
        <v>0</v>
      </c>
      <c r="I290" s="99">
        <f t="shared" si="13"/>
        <v>-8000000</v>
      </c>
      <c r="J290" s="99">
        <f t="shared" si="22"/>
        <v>0</v>
      </c>
      <c r="K290" s="99">
        <f t="shared" si="23"/>
        <v>-8000000</v>
      </c>
    </row>
    <row r="291" spans="1:11">
      <c r="A291" s="99"/>
      <c r="B291" s="18"/>
      <c r="C291" s="18"/>
      <c r="D291" s="18"/>
      <c r="E291" s="99"/>
      <c r="F291" s="99"/>
      <c r="G291" s="36">
        <f t="shared" si="21"/>
        <v>0</v>
      </c>
      <c r="H291" s="99">
        <f t="shared" si="15"/>
        <v>0</v>
      </c>
      <c r="I291" s="99">
        <f t="shared" si="13"/>
        <v>0</v>
      </c>
      <c r="J291" s="99">
        <f t="shared" si="22"/>
        <v>0</v>
      </c>
      <c r="K291" s="99">
        <f t="shared" si="23"/>
        <v>0</v>
      </c>
    </row>
    <row r="292" spans="1:11">
      <c r="A292" s="99"/>
      <c r="B292" s="18"/>
      <c r="C292" s="18"/>
      <c r="D292" s="18"/>
      <c r="E292" s="99"/>
      <c r="F292" s="99"/>
      <c r="G292" s="36">
        <f t="shared" si="21"/>
        <v>0</v>
      </c>
      <c r="H292" s="99">
        <f t="shared" si="15"/>
        <v>0</v>
      </c>
      <c r="I292" s="99">
        <f t="shared" si="13"/>
        <v>0</v>
      </c>
      <c r="J292" s="99">
        <f t="shared" si="22"/>
        <v>0</v>
      </c>
      <c r="K292" s="99">
        <f t="shared" si="23"/>
        <v>0</v>
      </c>
    </row>
    <row r="293" spans="1:11">
      <c r="A293" s="99"/>
      <c r="B293" s="18"/>
      <c r="C293" s="18"/>
      <c r="D293" s="18"/>
      <c r="E293" s="99"/>
      <c r="F293" s="99"/>
      <c r="G293" s="36">
        <f t="shared" si="21"/>
        <v>0</v>
      </c>
      <c r="H293" s="99">
        <f t="shared" si="15"/>
        <v>0</v>
      </c>
      <c r="I293" s="99">
        <f t="shared" si="13"/>
        <v>0</v>
      </c>
      <c r="J293" s="99">
        <f t="shared" si="22"/>
        <v>0</v>
      </c>
      <c r="K293" s="99">
        <f t="shared" si="23"/>
        <v>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6730341</v>
      </c>
      <c r="C299" s="29">
        <f>SUM(C2:C298)</f>
        <v>0</v>
      </c>
      <c r="D299" s="29">
        <f>SUM(D2:D298)</f>
        <v>6730341</v>
      </c>
      <c r="E299" s="11"/>
      <c r="F299" s="11"/>
      <c r="G299" s="11"/>
      <c r="H299" s="11"/>
      <c r="I299" s="29">
        <f>SUM(I2:I298)</f>
        <v>19154490499</v>
      </c>
      <c r="J299" s="29">
        <f>SUM(J2:J298)</f>
        <v>8687685429</v>
      </c>
      <c r="K299" s="29">
        <f>SUM(K2:K298)</f>
        <v>10466805070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18927362.153162055</v>
      </c>
      <c r="J302" s="29">
        <f>J299/G2</f>
        <v>8584669.3962450586</v>
      </c>
      <c r="K302" s="29">
        <f>K299/G2</f>
        <v>10342692.756916996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7926980</v>
      </c>
      <c r="G306" t="s">
        <v>25</v>
      </c>
      <c r="J306">
        <f>J299/I299*1448696</f>
        <v>657068.64564774779</v>
      </c>
      <c r="K306">
        <f>K299/I299*1448696</f>
        <v>791627.35435225221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pane ySplit="1" topLeftCell="A253" activePane="bottomLeft" state="frozen"/>
      <selection pane="bottomLeft" activeCell="C270" sqref="C270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958</v>
      </c>
      <c r="E2" s="11">
        <f>IF(B2&gt;0,1,0)</f>
        <v>1</v>
      </c>
      <c r="F2" s="11">
        <f>B2*(D2-E2)</f>
        <v>92541900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956</v>
      </c>
      <c r="E3" s="11">
        <f t="shared" ref="E3:E66" si="1">IF(B3&gt;0,1,0)</f>
        <v>1</v>
      </c>
      <c r="F3" s="11">
        <f t="shared" ref="F3:F66" si="2">B3*(D3-E3)</f>
        <v>2865000000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953</v>
      </c>
      <c r="E4" s="11">
        <f t="shared" si="1"/>
        <v>0</v>
      </c>
      <c r="F4" s="11">
        <f t="shared" si="2"/>
        <v>-190600000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951</v>
      </c>
      <c r="E5" s="11">
        <f t="shared" si="1"/>
        <v>0</v>
      </c>
      <c r="F5" s="11">
        <f t="shared" si="2"/>
        <v>-95100000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950</v>
      </c>
      <c r="E6" s="11">
        <f t="shared" si="1"/>
        <v>0</v>
      </c>
      <c r="F6" s="11">
        <f t="shared" si="2"/>
        <v>-52250000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949</v>
      </c>
      <c r="E7" s="11">
        <f t="shared" si="1"/>
        <v>0</v>
      </c>
      <c r="F7" s="11">
        <f t="shared" si="2"/>
        <v>-189800000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945</v>
      </c>
      <c r="E8" s="11">
        <f t="shared" si="1"/>
        <v>0</v>
      </c>
      <c r="F8" s="11">
        <f t="shared" si="2"/>
        <v>-189000000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935</v>
      </c>
      <c r="E9" s="11">
        <f t="shared" si="1"/>
        <v>0</v>
      </c>
      <c r="F9" s="11">
        <f t="shared" si="2"/>
        <v>-888717500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934</v>
      </c>
      <c r="E10" s="11">
        <f t="shared" si="1"/>
        <v>1</v>
      </c>
      <c r="F10" s="11">
        <f t="shared" si="2"/>
        <v>1866000000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932</v>
      </c>
      <c r="E11" s="11">
        <f t="shared" si="1"/>
        <v>0</v>
      </c>
      <c r="F11" s="11">
        <f t="shared" si="2"/>
        <v>-992580000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929</v>
      </c>
      <c r="E12" s="11">
        <f t="shared" si="1"/>
        <v>0</v>
      </c>
      <c r="F12" s="11">
        <f t="shared" si="2"/>
        <v>-41805000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928</v>
      </c>
      <c r="E13" s="11">
        <f t="shared" si="1"/>
        <v>0</v>
      </c>
      <c r="F13" s="11">
        <f t="shared" si="2"/>
        <v>-1856649600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924</v>
      </c>
      <c r="E14" s="11">
        <f t="shared" si="1"/>
        <v>0</v>
      </c>
      <c r="F14" s="11">
        <f t="shared" si="2"/>
        <v>-184800000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922</v>
      </c>
      <c r="E15" s="11">
        <f t="shared" si="1"/>
        <v>1</v>
      </c>
      <c r="F15" s="11">
        <f t="shared" si="2"/>
        <v>1842000000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922</v>
      </c>
      <c r="E16" s="11">
        <f t="shared" si="1"/>
        <v>1</v>
      </c>
      <c r="F16" s="11">
        <f t="shared" si="2"/>
        <v>1842000000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922</v>
      </c>
      <c r="E17" s="11">
        <f t="shared" si="1"/>
        <v>1</v>
      </c>
      <c r="F17" s="11">
        <f t="shared" si="2"/>
        <v>1105200000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922</v>
      </c>
      <c r="E18" s="11">
        <f t="shared" si="1"/>
        <v>1</v>
      </c>
      <c r="F18" s="11">
        <f t="shared" si="2"/>
        <v>921000000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921</v>
      </c>
      <c r="E19" s="11">
        <f t="shared" si="1"/>
        <v>1</v>
      </c>
      <c r="F19" s="11">
        <f t="shared" si="2"/>
        <v>2760000000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921</v>
      </c>
      <c r="E20" s="11">
        <f t="shared" si="1"/>
        <v>0</v>
      </c>
      <c r="F20" s="11">
        <f t="shared" si="2"/>
        <v>-398516700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921</v>
      </c>
      <c r="E21" s="11">
        <f t="shared" si="1"/>
        <v>0</v>
      </c>
      <c r="F21" s="11">
        <f t="shared" si="2"/>
        <v>-398516700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921</v>
      </c>
      <c r="E22" s="11">
        <f t="shared" si="1"/>
        <v>0</v>
      </c>
      <c r="F22" s="11">
        <f t="shared" si="2"/>
        <v>-398516700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921</v>
      </c>
      <c r="E23" s="11">
        <f t="shared" si="1"/>
        <v>0</v>
      </c>
      <c r="F23" s="11">
        <f t="shared" si="2"/>
        <v>-398516700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921</v>
      </c>
      <c r="E24" s="11">
        <f t="shared" si="1"/>
        <v>0</v>
      </c>
      <c r="F24" s="11">
        <f t="shared" si="2"/>
        <v>-398516700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921</v>
      </c>
      <c r="E25" s="11">
        <f t="shared" si="1"/>
        <v>0</v>
      </c>
      <c r="F25" s="11">
        <f t="shared" si="2"/>
        <v>-184200000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920</v>
      </c>
      <c r="E26" s="11">
        <f t="shared" si="1"/>
        <v>1</v>
      </c>
      <c r="F26" s="11">
        <f t="shared" si="2"/>
        <v>2757000000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918</v>
      </c>
      <c r="E27" s="11">
        <f t="shared" si="1"/>
        <v>0</v>
      </c>
      <c r="F27" s="11">
        <f t="shared" si="2"/>
        <v>-183600000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917</v>
      </c>
      <c r="E28" s="11">
        <f t="shared" si="1"/>
        <v>1</v>
      </c>
      <c r="F28" s="11">
        <f t="shared" si="2"/>
        <v>1832000000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916</v>
      </c>
      <c r="E29" s="11">
        <f t="shared" si="1"/>
        <v>0</v>
      </c>
      <c r="F29" s="11">
        <f t="shared" si="2"/>
        <v>-6412732800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915</v>
      </c>
      <c r="E30" s="11">
        <f t="shared" si="1"/>
        <v>0</v>
      </c>
      <c r="F30" s="11">
        <f t="shared" si="2"/>
        <v>-2745823500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914</v>
      </c>
      <c r="E31" s="11">
        <f t="shared" si="1"/>
        <v>0</v>
      </c>
      <c r="F31" s="11">
        <f t="shared" si="2"/>
        <v>-1550052600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911</v>
      </c>
      <c r="E32" s="11">
        <f t="shared" si="1"/>
        <v>1</v>
      </c>
      <c r="F32" s="11">
        <f t="shared" si="2"/>
        <v>904813000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905</v>
      </c>
      <c r="E33" s="11">
        <f t="shared" si="1"/>
        <v>1</v>
      </c>
      <c r="F33" s="11">
        <f t="shared" si="2"/>
        <v>31722264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904</v>
      </c>
      <c r="E34" s="11">
        <f t="shared" si="1"/>
        <v>0</v>
      </c>
      <c r="F34" s="11">
        <f t="shared" si="2"/>
        <v>-768400000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896</v>
      </c>
      <c r="E35" s="11">
        <f t="shared" si="1"/>
        <v>0</v>
      </c>
      <c r="F35" s="11">
        <f t="shared" si="2"/>
        <v>-170688000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895</v>
      </c>
      <c r="E36" s="11">
        <f t="shared" si="1"/>
        <v>1</v>
      </c>
      <c r="F36" s="11">
        <f t="shared" si="2"/>
        <v>178800000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895</v>
      </c>
      <c r="E37" s="11">
        <f t="shared" si="1"/>
        <v>0</v>
      </c>
      <c r="F37" s="11">
        <f t="shared" si="2"/>
        <v>-179000000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873</v>
      </c>
      <c r="E38" s="11">
        <f t="shared" si="1"/>
        <v>1</v>
      </c>
      <c r="F38" s="11">
        <f t="shared" si="2"/>
        <v>262302832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872</v>
      </c>
      <c r="E39" s="11">
        <f t="shared" si="1"/>
        <v>0</v>
      </c>
      <c r="F39" s="11">
        <f t="shared" si="2"/>
        <v>-82840000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872</v>
      </c>
      <c r="E40" s="11">
        <f t="shared" si="1"/>
        <v>0</v>
      </c>
      <c r="F40" s="11">
        <f t="shared" si="2"/>
        <v>-76825816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867</v>
      </c>
      <c r="E41" s="11">
        <f t="shared" si="1"/>
        <v>0</v>
      </c>
      <c r="F41" s="11">
        <f t="shared" si="2"/>
        <v>-104040000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845</v>
      </c>
      <c r="E42" s="11">
        <f t="shared" si="1"/>
        <v>1</v>
      </c>
      <c r="F42" s="11">
        <f t="shared" si="2"/>
        <v>844172176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841</v>
      </c>
      <c r="E43" s="11">
        <f t="shared" si="1"/>
        <v>0</v>
      </c>
      <c r="F43" s="11">
        <f t="shared" si="2"/>
        <v>-67280000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837</v>
      </c>
      <c r="E44" s="11">
        <f t="shared" si="1"/>
        <v>0</v>
      </c>
      <c r="F44" s="11">
        <f t="shared" si="2"/>
        <v>-176631273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836</v>
      </c>
      <c r="E45" s="11">
        <f t="shared" si="1"/>
        <v>0</v>
      </c>
      <c r="F45" s="11">
        <f t="shared" si="2"/>
        <v>-167200000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835</v>
      </c>
      <c r="E46" s="11">
        <f t="shared" si="1"/>
        <v>0</v>
      </c>
      <c r="F46" s="11">
        <f t="shared" si="2"/>
        <v>-79325000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833</v>
      </c>
      <c r="E47" s="11">
        <f t="shared" si="1"/>
        <v>0</v>
      </c>
      <c r="F47" s="11">
        <f t="shared" si="2"/>
        <v>-37485000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833</v>
      </c>
      <c r="E48" s="11">
        <f t="shared" si="1"/>
        <v>0</v>
      </c>
      <c r="F48" s="11">
        <f t="shared" si="2"/>
        <v>-53461940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830</v>
      </c>
      <c r="E49" s="11">
        <f t="shared" si="1"/>
        <v>0</v>
      </c>
      <c r="F49" s="11">
        <f t="shared" si="2"/>
        <v>-22811720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829</v>
      </c>
      <c r="E50" s="11">
        <f t="shared" si="1"/>
        <v>0</v>
      </c>
      <c r="F50" s="11">
        <f t="shared" si="2"/>
        <v>-116889000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829</v>
      </c>
      <c r="E51" s="11">
        <f t="shared" si="1"/>
        <v>0</v>
      </c>
      <c r="F51" s="11">
        <f t="shared" si="2"/>
        <v>-22172434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828</v>
      </c>
      <c r="E52" s="11">
        <f t="shared" si="1"/>
        <v>0</v>
      </c>
      <c r="F52" s="11">
        <f t="shared" si="2"/>
        <v>-44132400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827</v>
      </c>
      <c r="E53" s="11">
        <f t="shared" si="1"/>
        <v>1</v>
      </c>
      <c r="F53" s="11">
        <f t="shared" si="2"/>
        <v>826000000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821</v>
      </c>
      <c r="E54" s="11">
        <f t="shared" si="1"/>
        <v>0</v>
      </c>
      <c r="F54" s="11">
        <f t="shared" si="2"/>
        <v>-17241000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820</v>
      </c>
      <c r="E55" s="11">
        <f t="shared" si="1"/>
        <v>0</v>
      </c>
      <c r="F55" s="11">
        <f t="shared" si="2"/>
        <v>-804010000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820</v>
      </c>
      <c r="E56" s="11">
        <f t="shared" si="1"/>
        <v>0</v>
      </c>
      <c r="F56" s="11">
        <f t="shared" si="2"/>
        <v>-36900000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807</v>
      </c>
      <c r="E57" s="11">
        <f t="shared" si="1"/>
        <v>1</v>
      </c>
      <c r="F57" s="11">
        <f t="shared" si="2"/>
        <v>2422182334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807</v>
      </c>
      <c r="E58" s="11">
        <f t="shared" si="1"/>
        <v>1</v>
      </c>
      <c r="F58" s="11">
        <f t="shared" si="2"/>
        <v>1612000000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806</v>
      </c>
      <c r="E59" s="11">
        <f t="shared" si="1"/>
        <v>1</v>
      </c>
      <c r="F59" s="11">
        <f t="shared" si="2"/>
        <v>1610000000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806</v>
      </c>
      <c r="E60" s="11">
        <f t="shared" si="1"/>
        <v>0</v>
      </c>
      <c r="F60" s="11">
        <f t="shared" si="2"/>
        <v>-5643209000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782</v>
      </c>
      <c r="E61" s="11">
        <f t="shared" si="1"/>
        <v>1</v>
      </c>
      <c r="F61" s="11">
        <f t="shared" si="2"/>
        <v>2343000000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781</v>
      </c>
      <c r="E62" s="11">
        <f t="shared" si="1"/>
        <v>0</v>
      </c>
      <c r="F62" s="11">
        <f t="shared" si="2"/>
        <v>-21172129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781</v>
      </c>
      <c r="E63" s="11">
        <f t="shared" si="1"/>
        <v>0</v>
      </c>
      <c r="F63" s="11">
        <f t="shared" si="2"/>
        <v>-25764409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781</v>
      </c>
      <c r="E64" s="11">
        <f t="shared" si="1"/>
        <v>1</v>
      </c>
      <c r="F64" s="11">
        <f t="shared" si="2"/>
        <v>2340000000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781</v>
      </c>
      <c r="E65" s="11">
        <f t="shared" si="1"/>
        <v>1</v>
      </c>
      <c r="F65" s="11">
        <f t="shared" si="2"/>
        <v>2316600000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781</v>
      </c>
      <c r="E66" s="11">
        <f t="shared" si="1"/>
        <v>1</v>
      </c>
      <c r="F66" s="11">
        <f t="shared" si="2"/>
        <v>780000000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781</v>
      </c>
      <c r="E67" s="11">
        <f t="shared" ref="E67:E130" si="4">IF(B67&gt;0,1,0)</f>
        <v>1</v>
      </c>
      <c r="F67" s="11">
        <f t="shared" ref="F67:F248" si="5">B67*(D67-E67)</f>
        <v>23400000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780</v>
      </c>
      <c r="E68" s="11">
        <f t="shared" si="4"/>
        <v>1</v>
      </c>
      <c r="F68" s="11">
        <f t="shared" si="5"/>
        <v>23370000000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779</v>
      </c>
      <c r="E69" s="11">
        <f t="shared" si="4"/>
        <v>0</v>
      </c>
      <c r="F69" s="11">
        <f t="shared" si="5"/>
        <v>-155800000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779</v>
      </c>
      <c r="E70" s="11">
        <f t="shared" si="4"/>
        <v>1</v>
      </c>
      <c r="F70" s="11">
        <f t="shared" si="5"/>
        <v>1089200000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779</v>
      </c>
      <c r="E71" s="11">
        <f t="shared" si="4"/>
        <v>1</v>
      </c>
      <c r="F71" s="11">
        <f t="shared" si="5"/>
        <v>2022800000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779</v>
      </c>
      <c r="E72" s="11">
        <f t="shared" si="4"/>
        <v>0</v>
      </c>
      <c r="F72" s="11">
        <f t="shared" si="5"/>
        <v>-779000000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777</v>
      </c>
      <c r="E73" s="11">
        <f t="shared" si="4"/>
        <v>1</v>
      </c>
      <c r="F73" s="11">
        <f t="shared" si="5"/>
        <v>11640000000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772</v>
      </c>
      <c r="E74" s="11">
        <f t="shared" si="4"/>
        <v>0</v>
      </c>
      <c r="F74" s="11">
        <f t="shared" si="5"/>
        <v>-11583242400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770</v>
      </c>
      <c r="E75" s="11">
        <f t="shared" si="4"/>
        <v>0</v>
      </c>
      <c r="F75" s="11">
        <f t="shared" si="5"/>
        <v>-2310000000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770</v>
      </c>
      <c r="E76" s="11">
        <f t="shared" si="4"/>
        <v>0</v>
      </c>
      <c r="F76" s="11">
        <f t="shared" si="5"/>
        <v>-154000000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770</v>
      </c>
      <c r="E77" s="11">
        <f t="shared" si="4"/>
        <v>0</v>
      </c>
      <c r="F77" s="11">
        <f t="shared" si="5"/>
        <v>-9242310000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766</v>
      </c>
      <c r="E78" s="11">
        <f t="shared" si="4"/>
        <v>0</v>
      </c>
      <c r="F78" s="11">
        <f t="shared" si="5"/>
        <v>-2298689400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761</v>
      </c>
      <c r="E79" s="11">
        <f t="shared" si="4"/>
        <v>1</v>
      </c>
      <c r="F79" s="11">
        <f t="shared" si="5"/>
        <v>17480000000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756</v>
      </c>
      <c r="E80" s="11">
        <f t="shared" si="4"/>
        <v>0</v>
      </c>
      <c r="F80" s="11">
        <f t="shared" si="5"/>
        <v>-453978000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756</v>
      </c>
      <c r="E81" s="11">
        <f t="shared" si="4"/>
        <v>0</v>
      </c>
      <c r="F81" s="11">
        <f t="shared" si="5"/>
        <v>-151200000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755</v>
      </c>
      <c r="E82" s="11">
        <f t="shared" si="4"/>
        <v>1</v>
      </c>
      <c r="F82" s="11">
        <f t="shared" si="5"/>
        <v>213548634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755</v>
      </c>
      <c r="E83" s="11">
        <f t="shared" si="4"/>
        <v>0</v>
      </c>
      <c r="F83" s="11">
        <f t="shared" si="5"/>
        <v>-151000000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753</v>
      </c>
      <c r="E84" s="11">
        <f t="shared" si="4"/>
        <v>1</v>
      </c>
      <c r="F84" s="11">
        <f t="shared" si="5"/>
        <v>1504000000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750</v>
      </c>
      <c r="E85" s="11">
        <f t="shared" si="4"/>
        <v>0</v>
      </c>
      <c r="F85" s="11">
        <f t="shared" si="5"/>
        <v>-150000000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744</v>
      </c>
      <c r="E86" s="11">
        <f t="shared" si="4"/>
        <v>0</v>
      </c>
      <c r="F86" s="11">
        <f t="shared" si="5"/>
        <v>-148800000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742</v>
      </c>
      <c r="E87" s="11">
        <f t="shared" si="4"/>
        <v>0</v>
      </c>
      <c r="F87" s="11">
        <f t="shared" si="5"/>
        <v>-983150000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727</v>
      </c>
      <c r="E88" s="11">
        <f t="shared" si="4"/>
        <v>0</v>
      </c>
      <c r="F88" s="11">
        <f t="shared" si="5"/>
        <v>-363500000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727</v>
      </c>
      <c r="E89" s="11">
        <f t="shared" si="4"/>
        <v>0</v>
      </c>
      <c r="F89" s="11">
        <f t="shared" si="5"/>
        <v>-87240000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725</v>
      </c>
      <c r="E90" s="11">
        <f t="shared" si="4"/>
        <v>1</v>
      </c>
      <c r="F90" s="11">
        <f t="shared" si="5"/>
        <v>310020420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722</v>
      </c>
      <c r="E91" s="11">
        <f t="shared" si="4"/>
        <v>0</v>
      </c>
      <c r="F91" s="11">
        <f t="shared" si="5"/>
        <v>-2167444000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720</v>
      </c>
      <c r="E92" s="11">
        <f t="shared" si="4"/>
        <v>0</v>
      </c>
      <c r="F92" s="11">
        <f t="shared" si="5"/>
        <v>-147600000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720</v>
      </c>
      <c r="E93" s="11">
        <f t="shared" si="4"/>
        <v>0</v>
      </c>
      <c r="F93" s="11">
        <f t="shared" si="5"/>
        <v>-252360000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709</v>
      </c>
      <c r="E94" s="11">
        <f t="shared" si="4"/>
        <v>1</v>
      </c>
      <c r="F94" s="11">
        <f t="shared" si="5"/>
        <v>708000000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704</v>
      </c>
      <c r="E95" s="11">
        <f t="shared" si="4"/>
        <v>1</v>
      </c>
      <c r="F95" s="11">
        <f t="shared" si="5"/>
        <v>6327000000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702</v>
      </c>
      <c r="E96" s="11">
        <f t="shared" si="4"/>
        <v>0</v>
      </c>
      <c r="F96" s="11">
        <f t="shared" si="5"/>
        <v>-18252000000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702</v>
      </c>
      <c r="E97" s="11">
        <f t="shared" si="4"/>
        <v>0</v>
      </c>
      <c r="F97" s="11">
        <f t="shared" si="5"/>
        <v>-18252000000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702</v>
      </c>
      <c r="E98" s="11">
        <f t="shared" si="4"/>
        <v>1</v>
      </c>
      <c r="F98" s="11">
        <f t="shared" si="5"/>
        <v>18226000000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702</v>
      </c>
      <c r="E99" s="11">
        <f t="shared" si="4"/>
        <v>0</v>
      </c>
      <c r="F99" s="11">
        <f t="shared" si="5"/>
        <v>-140400000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700</v>
      </c>
      <c r="E100" s="11">
        <f t="shared" si="4"/>
        <v>1</v>
      </c>
      <c r="F100" s="11">
        <f t="shared" si="5"/>
        <v>20410800000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695</v>
      </c>
      <c r="E101" s="11">
        <f t="shared" si="4"/>
        <v>1</v>
      </c>
      <c r="F101" s="11">
        <f t="shared" si="5"/>
        <v>277561830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694</v>
      </c>
      <c r="E102" s="11">
        <f t="shared" si="4"/>
        <v>1</v>
      </c>
      <c r="F102" s="11">
        <f t="shared" si="5"/>
        <v>1386000000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693</v>
      </c>
      <c r="E103" s="11">
        <f t="shared" si="4"/>
        <v>1</v>
      </c>
      <c r="F103" s="11">
        <f t="shared" si="5"/>
        <v>5190000000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693</v>
      </c>
      <c r="E104" s="11">
        <f t="shared" si="4"/>
        <v>0</v>
      </c>
      <c r="F104" s="11">
        <f t="shared" si="5"/>
        <v>-45738000000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693</v>
      </c>
      <c r="E105" s="11">
        <f t="shared" si="4"/>
        <v>0</v>
      </c>
      <c r="F105" s="11">
        <f t="shared" si="5"/>
        <v>-100485000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691</v>
      </c>
      <c r="E106" s="11">
        <f t="shared" si="4"/>
        <v>1</v>
      </c>
      <c r="F106" s="11">
        <f t="shared" si="5"/>
        <v>4140000000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689</v>
      </c>
      <c r="E107" s="11">
        <f t="shared" si="4"/>
        <v>0</v>
      </c>
      <c r="F107" s="11">
        <f t="shared" si="5"/>
        <v>-4138065100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686</v>
      </c>
      <c r="E108" s="11">
        <f t="shared" si="4"/>
        <v>1</v>
      </c>
      <c r="F108" s="11">
        <f t="shared" si="5"/>
        <v>4110000000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674</v>
      </c>
      <c r="E109" s="11">
        <f t="shared" si="4"/>
        <v>0</v>
      </c>
      <c r="F109" s="11">
        <f t="shared" si="5"/>
        <v>-80880000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673</v>
      </c>
      <c r="E110" s="11">
        <f t="shared" si="4"/>
        <v>1</v>
      </c>
      <c r="F110" s="11">
        <f t="shared" si="5"/>
        <v>2688000000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672</v>
      </c>
      <c r="E111" s="11">
        <f t="shared" si="4"/>
        <v>1</v>
      </c>
      <c r="F111" s="11">
        <f t="shared" si="5"/>
        <v>1878800000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668</v>
      </c>
      <c r="E112" s="11">
        <f t="shared" si="4"/>
        <v>0</v>
      </c>
      <c r="F112" s="11">
        <f t="shared" si="5"/>
        <v>-133600000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667</v>
      </c>
      <c r="E113" s="11">
        <f t="shared" si="4"/>
        <v>1</v>
      </c>
      <c r="F113" s="11">
        <f t="shared" si="5"/>
        <v>48158460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650</v>
      </c>
      <c r="E114" s="11">
        <f t="shared" si="4"/>
        <v>0</v>
      </c>
      <c r="F114" s="11">
        <f t="shared" si="5"/>
        <v>-130000000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649</v>
      </c>
      <c r="E115" s="11">
        <f t="shared" si="4"/>
        <v>0</v>
      </c>
      <c r="F115" s="23">
        <f t="shared" si="5"/>
        <v>-7139000000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649</v>
      </c>
      <c r="E116" s="11">
        <f t="shared" si="4"/>
        <v>0</v>
      </c>
      <c r="F116" s="11">
        <f t="shared" si="5"/>
        <v>-129800000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647</v>
      </c>
      <c r="E117" s="11">
        <f t="shared" si="4"/>
        <v>0</v>
      </c>
      <c r="F117" s="11">
        <f t="shared" si="5"/>
        <v>-291473500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647</v>
      </c>
      <c r="E118" s="11">
        <f t="shared" si="4"/>
        <v>0</v>
      </c>
      <c r="F118" s="11">
        <f t="shared" si="5"/>
        <v>-129400000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641</v>
      </c>
      <c r="E119" s="11">
        <f t="shared" si="4"/>
        <v>0</v>
      </c>
      <c r="F119" s="11">
        <f t="shared" si="5"/>
        <v>-99066550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641</v>
      </c>
      <c r="E120" s="11">
        <f t="shared" si="4"/>
        <v>0</v>
      </c>
      <c r="F120" s="11">
        <f t="shared" si="5"/>
        <v>-205120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640</v>
      </c>
      <c r="E121" s="11">
        <f t="shared" si="4"/>
        <v>0</v>
      </c>
      <c r="F121" s="11">
        <f t="shared" si="5"/>
        <v>-276480000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634</v>
      </c>
      <c r="E122" s="11">
        <f t="shared" si="4"/>
        <v>1</v>
      </c>
      <c r="F122" s="11">
        <f t="shared" si="5"/>
        <v>46869219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613</v>
      </c>
      <c r="E123" s="11">
        <f t="shared" si="4"/>
        <v>0</v>
      </c>
      <c r="F123" s="11">
        <f t="shared" si="5"/>
        <v>-31876000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572</v>
      </c>
      <c r="E124" s="11">
        <f t="shared" si="4"/>
        <v>1</v>
      </c>
      <c r="F124" s="11">
        <f t="shared" si="5"/>
        <v>677777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571</v>
      </c>
      <c r="E125" s="11">
        <f t="shared" si="4"/>
        <v>1</v>
      </c>
      <c r="F125" s="11">
        <f t="shared" si="5"/>
        <v>1368000000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569</v>
      </c>
      <c r="E126" s="11">
        <f t="shared" si="4"/>
        <v>1</v>
      </c>
      <c r="F126" s="11">
        <f t="shared" si="5"/>
        <v>762710400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569</v>
      </c>
      <c r="E127" s="11">
        <f t="shared" si="4"/>
        <v>1</v>
      </c>
      <c r="F127" s="11">
        <f t="shared" si="5"/>
        <v>762710400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557</v>
      </c>
      <c r="E128" s="11">
        <f t="shared" si="4"/>
        <v>0</v>
      </c>
      <c r="F128" s="11">
        <f t="shared" si="5"/>
        <v>-111400000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555</v>
      </c>
      <c r="E129" s="11">
        <f t="shared" si="4"/>
        <v>0</v>
      </c>
      <c r="F129" s="11">
        <f>B129*(D129-E129)</f>
        <v>-8667990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554</v>
      </c>
      <c r="E130" s="11">
        <f t="shared" si="4"/>
        <v>0</v>
      </c>
      <c r="F130" s="11">
        <f t="shared" si="5"/>
        <v>-110800000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553</v>
      </c>
      <c r="E131" s="11">
        <f t="shared" ref="E131:E248" si="7">IF(B131&gt;0,1,0)</f>
        <v>0</v>
      </c>
      <c r="F131" s="11">
        <f t="shared" si="5"/>
        <v>-110600000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552</v>
      </c>
      <c r="E132" s="11">
        <f t="shared" si="7"/>
        <v>0</v>
      </c>
      <c r="F132" s="11">
        <f t="shared" si="5"/>
        <v>-215280000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552</v>
      </c>
      <c r="E133" s="11">
        <f t="shared" si="7"/>
        <v>0</v>
      </c>
      <c r="F133" s="11">
        <f t="shared" si="5"/>
        <v>-13524000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551</v>
      </c>
      <c r="E134" s="11">
        <f t="shared" si="7"/>
        <v>0</v>
      </c>
      <c r="F134" s="11">
        <f t="shared" si="5"/>
        <v>-52345000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547</v>
      </c>
      <c r="E135" s="11">
        <f t="shared" si="7"/>
        <v>0</v>
      </c>
      <c r="F135" s="11">
        <f t="shared" si="5"/>
        <v>-109400000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545</v>
      </c>
      <c r="E136" s="11">
        <f t="shared" si="7"/>
        <v>1</v>
      </c>
      <c r="F136" s="11">
        <f t="shared" si="5"/>
        <v>27200000000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544</v>
      </c>
      <c r="E137" s="11">
        <f t="shared" si="7"/>
        <v>1</v>
      </c>
      <c r="F137" s="11">
        <f t="shared" si="5"/>
        <v>6516000000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542</v>
      </c>
      <c r="E138" s="11">
        <f t="shared" si="7"/>
        <v>1</v>
      </c>
      <c r="F138" s="11">
        <f t="shared" si="5"/>
        <v>1082000000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541</v>
      </c>
      <c r="E139" s="11">
        <f t="shared" si="7"/>
        <v>1</v>
      </c>
      <c r="F139" s="11">
        <f t="shared" si="5"/>
        <v>47270520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528</v>
      </c>
      <c r="E140" s="11">
        <f t="shared" si="7"/>
        <v>0</v>
      </c>
      <c r="F140" s="11">
        <f t="shared" si="5"/>
        <v>-1584475200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527</v>
      </c>
      <c r="E141" s="11">
        <f t="shared" si="7"/>
        <v>0</v>
      </c>
      <c r="F141" s="11">
        <f t="shared" si="5"/>
        <v>-1581474300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510</v>
      </c>
      <c r="E142" s="11">
        <f t="shared" si="7"/>
        <v>1</v>
      </c>
      <c r="F142" s="11">
        <f t="shared" si="5"/>
        <v>306430725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510</v>
      </c>
      <c r="E143" s="11">
        <f t="shared" si="7"/>
        <v>0</v>
      </c>
      <c r="F143" s="11">
        <f t="shared" si="5"/>
        <v>-23460000000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479</v>
      </c>
      <c r="E144" s="11">
        <f t="shared" si="7"/>
        <v>1</v>
      </c>
      <c r="F144" s="11">
        <f t="shared" si="5"/>
        <v>73663146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478</v>
      </c>
      <c r="E145" s="11">
        <f t="shared" si="7"/>
        <v>1</v>
      </c>
      <c r="F145" s="11">
        <f t="shared" si="5"/>
        <v>1431000000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475</v>
      </c>
      <c r="E146" s="11">
        <f t="shared" si="7"/>
        <v>0</v>
      </c>
      <c r="F146" s="11">
        <f t="shared" si="5"/>
        <v>-95000000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470</v>
      </c>
      <c r="E147" s="11">
        <f t="shared" si="7"/>
        <v>0</v>
      </c>
      <c r="F147" s="11">
        <f t="shared" si="5"/>
        <v>-94000000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469</v>
      </c>
      <c r="E148" s="11">
        <f t="shared" si="7"/>
        <v>0</v>
      </c>
      <c r="F148" s="11">
        <f t="shared" si="5"/>
        <v>-93800000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465</v>
      </c>
      <c r="E149" s="11">
        <f t="shared" si="7"/>
        <v>0</v>
      </c>
      <c r="F149" s="11">
        <f t="shared" si="5"/>
        <v>-93000000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464</v>
      </c>
      <c r="E150" s="11">
        <f t="shared" si="7"/>
        <v>1</v>
      </c>
      <c r="F150" s="11">
        <f t="shared" si="5"/>
        <v>11145984200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462</v>
      </c>
      <c r="E151" s="11">
        <f t="shared" si="7"/>
        <v>0</v>
      </c>
      <c r="F151" s="11">
        <f t="shared" si="5"/>
        <v>-92400000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456</v>
      </c>
      <c r="E152" s="11">
        <f t="shared" si="7"/>
        <v>0</v>
      </c>
      <c r="F152" s="11">
        <f t="shared" si="5"/>
        <v>-13680000000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455</v>
      </c>
      <c r="E153" s="11">
        <f t="shared" si="7"/>
        <v>0</v>
      </c>
      <c r="F153" s="11">
        <f t="shared" si="5"/>
        <v>-23660000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455</v>
      </c>
      <c r="E154" s="11">
        <f t="shared" si="7"/>
        <v>0</v>
      </c>
      <c r="F154" s="11">
        <f t="shared" si="5"/>
        <v>-61880000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450</v>
      </c>
      <c r="E155" s="11">
        <f t="shared" si="7"/>
        <v>1</v>
      </c>
      <c r="F155" s="11">
        <f t="shared" si="5"/>
        <v>1347000000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449</v>
      </c>
      <c r="E156" s="11">
        <f t="shared" si="7"/>
        <v>1</v>
      </c>
      <c r="F156" s="11">
        <f t="shared" si="5"/>
        <v>84718144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449</v>
      </c>
      <c r="E157" s="11">
        <f t="shared" si="7"/>
        <v>1</v>
      </c>
      <c r="F157" s="11">
        <f t="shared" si="5"/>
        <v>10854009600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441</v>
      </c>
      <c r="E158" s="11">
        <f t="shared" si="7"/>
        <v>1</v>
      </c>
      <c r="F158" s="11">
        <f t="shared" si="5"/>
        <v>10689888000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441</v>
      </c>
      <c r="E159" s="11">
        <f t="shared" si="7"/>
        <v>0</v>
      </c>
      <c r="F159" s="11">
        <f t="shared" si="5"/>
        <v>-88641000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436</v>
      </c>
      <c r="E160" s="11">
        <f t="shared" si="7"/>
        <v>0</v>
      </c>
      <c r="F160" s="11">
        <f t="shared" si="5"/>
        <v>-87200000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433</v>
      </c>
      <c r="E161" s="11">
        <f t="shared" si="7"/>
        <v>0</v>
      </c>
      <c r="F161" s="11">
        <f t="shared" si="5"/>
        <v>-86600000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429</v>
      </c>
      <c r="E162" s="11">
        <f t="shared" si="7"/>
        <v>0</v>
      </c>
      <c r="F162" s="11">
        <f t="shared" si="5"/>
        <v>-85800000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426</v>
      </c>
      <c r="E163" s="11">
        <f t="shared" si="7"/>
        <v>0</v>
      </c>
      <c r="F163" s="11">
        <f t="shared" si="5"/>
        <v>-85200000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419</v>
      </c>
      <c r="E164" s="11">
        <f t="shared" si="7"/>
        <v>1</v>
      </c>
      <c r="F164" s="11">
        <f t="shared" si="5"/>
        <v>191307732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416</v>
      </c>
      <c r="E165" s="11">
        <f t="shared" si="7"/>
        <v>1</v>
      </c>
      <c r="F165" s="11">
        <f t="shared" si="5"/>
        <v>1120500000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416</v>
      </c>
      <c r="E166" s="11">
        <f t="shared" si="7"/>
        <v>1</v>
      </c>
      <c r="F166" s="11">
        <f t="shared" si="5"/>
        <v>1037500000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409</v>
      </c>
      <c r="E167" s="11">
        <f t="shared" si="7"/>
        <v>0</v>
      </c>
      <c r="F167" s="11">
        <f t="shared" si="5"/>
        <v>-81800000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407</v>
      </c>
      <c r="E168" s="11">
        <f t="shared" si="7"/>
        <v>0</v>
      </c>
      <c r="F168" s="11">
        <f t="shared" si="5"/>
        <v>-81400000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401</v>
      </c>
      <c r="E169" s="11">
        <f t="shared" si="7"/>
        <v>0</v>
      </c>
      <c r="F169" s="11">
        <f t="shared" si="5"/>
        <v>-80200000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398</v>
      </c>
      <c r="E170" s="11">
        <f t="shared" si="7"/>
        <v>0</v>
      </c>
      <c r="F170" s="11">
        <f t="shared" si="5"/>
        <v>-79600000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398</v>
      </c>
      <c r="E171" s="11">
        <f t="shared" si="7"/>
        <v>1</v>
      </c>
      <c r="F171" s="11">
        <f t="shared" si="5"/>
        <v>1191000000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395</v>
      </c>
      <c r="E172" s="11">
        <f t="shared" si="7"/>
        <v>0</v>
      </c>
      <c r="F172" s="11">
        <f t="shared" si="5"/>
        <v>-79000000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394</v>
      </c>
      <c r="E173" s="11">
        <f t="shared" si="7"/>
        <v>1</v>
      </c>
      <c r="F173" s="11">
        <f t="shared" si="5"/>
        <v>1179000000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393</v>
      </c>
      <c r="E174" s="11">
        <f t="shared" si="7"/>
        <v>1</v>
      </c>
      <c r="F174" s="11">
        <f t="shared" si="5"/>
        <v>784000000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392</v>
      </c>
      <c r="E175" s="11">
        <f t="shared" si="7"/>
        <v>1</v>
      </c>
      <c r="F175" s="11">
        <f t="shared" si="5"/>
        <v>508300000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390</v>
      </c>
      <c r="E176" s="11">
        <f t="shared" si="7"/>
        <v>0</v>
      </c>
      <c r="F176" s="11">
        <f t="shared" si="5"/>
        <v>-78000000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390</v>
      </c>
      <c r="E177" s="11">
        <f t="shared" si="7"/>
        <v>1</v>
      </c>
      <c r="F177" s="11">
        <f t="shared" si="5"/>
        <v>661300000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389</v>
      </c>
      <c r="E178" s="11">
        <f t="shared" si="7"/>
        <v>0</v>
      </c>
      <c r="F178" s="11">
        <f t="shared" si="5"/>
        <v>-77800000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388</v>
      </c>
      <c r="E179" s="11">
        <f t="shared" si="7"/>
        <v>1</v>
      </c>
      <c r="F179" s="11">
        <f t="shared" si="5"/>
        <v>221167404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385</v>
      </c>
      <c r="E180" s="11">
        <f t="shared" si="7"/>
        <v>1</v>
      </c>
      <c r="F180" s="11">
        <f t="shared" si="5"/>
        <v>1152000000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378</v>
      </c>
      <c r="E181" s="11">
        <f t="shared" si="7"/>
        <v>1</v>
      </c>
      <c r="F181" s="11">
        <f t="shared" si="5"/>
        <v>754000000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370</v>
      </c>
      <c r="E182" s="11">
        <f t="shared" si="7"/>
        <v>0</v>
      </c>
      <c r="F182" s="11">
        <f t="shared" si="5"/>
        <v>-814259000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358</v>
      </c>
      <c r="E183" s="11">
        <f t="shared" si="7"/>
        <v>1</v>
      </c>
      <c r="F183" s="11">
        <f t="shared" si="5"/>
        <v>241006059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328</v>
      </c>
      <c r="E184" s="11">
        <f t="shared" si="7"/>
        <v>1</v>
      </c>
      <c r="F184" s="11">
        <f t="shared" si="5"/>
        <v>221379000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313</v>
      </c>
      <c r="E185" s="11">
        <f t="shared" si="7"/>
        <v>0</v>
      </c>
      <c r="F185" s="11">
        <f t="shared" si="5"/>
        <v>-3130000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308</v>
      </c>
      <c r="E186" s="11">
        <f t="shared" si="7"/>
        <v>0</v>
      </c>
      <c r="F186" s="11">
        <f t="shared" si="5"/>
        <v>-24794000000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303</v>
      </c>
      <c r="E187" s="11">
        <f t="shared" si="7"/>
        <v>0</v>
      </c>
      <c r="F187" s="11">
        <f t="shared" si="5"/>
        <v>-333300000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303</v>
      </c>
      <c r="E188" s="11">
        <f t="shared" si="7"/>
        <v>1</v>
      </c>
      <c r="F188" s="11">
        <f t="shared" si="5"/>
        <v>906000000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302</v>
      </c>
      <c r="E189" s="11">
        <f t="shared" si="7"/>
        <v>1</v>
      </c>
      <c r="F189" s="11">
        <f t="shared" si="5"/>
        <v>602000000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302</v>
      </c>
      <c r="E190" s="11">
        <f t="shared" si="7"/>
        <v>0</v>
      </c>
      <c r="F190" s="11">
        <f t="shared" si="5"/>
        <v>-1510000000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301</v>
      </c>
      <c r="E191" s="11">
        <f t="shared" si="7"/>
        <v>1</v>
      </c>
      <c r="F191" s="11">
        <f t="shared" si="5"/>
        <v>144974400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297</v>
      </c>
      <c r="E192" s="11">
        <f t="shared" si="7"/>
        <v>0</v>
      </c>
      <c r="F192" s="11">
        <f t="shared" si="5"/>
        <v>-34244100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293</v>
      </c>
      <c r="E193" s="11">
        <f t="shared" si="7"/>
        <v>1</v>
      </c>
      <c r="F193" s="11">
        <f t="shared" si="5"/>
        <v>26280000000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286</v>
      </c>
      <c r="E194" s="11">
        <f t="shared" si="7"/>
        <v>1</v>
      </c>
      <c r="F194" s="11">
        <f t="shared" si="5"/>
        <v>14820000000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286</v>
      </c>
      <c r="E195" s="11">
        <f t="shared" si="7"/>
        <v>1</v>
      </c>
      <c r="F195" s="99">
        <f t="shared" si="5"/>
        <v>7125000000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286</v>
      </c>
      <c r="E196" s="99">
        <f t="shared" si="7"/>
        <v>0</v>
      </c>
      <c r="F196" s="99">
        <f t="shared" si="5"/>
        <v>-48048000000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279</v>
      </c>
      <c r="E197" s="99">
        <f t="shared" si="7"/>
        <v>0</v>
      </c>
      <c r="F197" s="99">
        <f t="shared" si="5"/>
        <v>-46174500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275</v>
      </c>
      <c r="E198" s="99">
        <f t="shared" si="7"/>
        <v>0</v>
      </c>
      <c r="F198" s="99">
        <f t="shared" si="5"/>
        <v>-55000000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275</v>
      </c>
      <c r="E199" s="99">
        <f t="shared" si="7"/>
        <v>0</v>
      </c>
      <c r="F199" s="99">
        <f t="shared" si="5"/>
        <v>-12919775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272</v>
      </c>
      <c r="E200" s="99">
        <f t="shared" si="7"/>
        <v>0</v>
      </c>
      <c r="F200" s="99">
        <f t="shared" si="5"/>
        <v>-1264800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270</v>
      </c>
      <c r="E201" s="99">
        <f t="shared" si="7"/>
        <v>1</v>
      </c>
      <c r="F201" s="99">
        <f t="shared" si="5"/>
        <v>42993732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267</v>
      </c>
      <c r="E202" s="99">
        <f t="shared" si="7"/>
        <v>0</v>
      </c>
      <c r="F202" s="99">
        <f t="shared" si="5"/>
        <v>-80233500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267</v>
      </c>
      <c r="E203" s="99">
        <f t="shared" si="7"/>
        <v>1</v>
      </c>
      <c r="F203" s="99">
        <f t="shared" si="5"/>
        <v>1596000000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265</v>
      </c>
      <c r="E204" s="99">
        <f t="shared" si="7"/>
        <v>0</v>
      </c>
      <c r="F204" s="99">
        <f t="shared" si="5"/>
        <v>-181525000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264</v>
      </c>
      <c r="E205" s="99">
        <f t="shared" si="7"/>
        <v>0</v>
      </c>
      <c r="F205" s="99">
        <f t="shared" si="5"/>
        <v>-792000000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263</v>
      </c>
      <c r="E206" s="99">
        <f t="shared" si="7"/>
        <v>0</v>
      </c>
      <c r="F206" s="99">
        <f t="shared" si="5"/>
        <v>-41028000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262</v>
      </c>
      <c r="E207" s="99">
        <f t="shared" si="7"/>
        <v>0</v>
      </c>
      <c r="F207" s="99">
        <f t="shared" si="5"/>
        <v>-17292000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261</v>
      </c>
      <c r="E208" s="99">
        <f t="shared" si="7"/>
        <v>0</v>
      </c>
      <c r="F208" s="99">
        <f t="shared" si="5"/>
        <v>-652734900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259</v>
      </c>
      <c r="E209" s="99">
        <f t="shared" si="7"/>
        <v>1</v>
      </c>
      <c r="F209" s="99">
        <f t="shared" si="5"/>
        <v>774000000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259</v>
      </c>
      <c r="E210" s="99">
        <f t="shared" si="7"/>
        <v>0</v>
      </c>
      <c r="F210" s="99">
        <f t="shared" si="5"/>
        <v>-673762600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257</v>
      </c>
      <c r="E211" s="99">
        <f t="shared" si="7"/>
        <v>1</v>
      </c>
      <c r="F211" s="99">
        <f t="shared" si="5"/>
        <v>256000000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255</v>
      </c>
      <c r="E212" s="99">
        <f t="shared" si="7"/>
        <v>1</v>
      </c>
      <c r="F212" s="99">
        <f t="shared" si="5"/>
        <v>342900000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254</v>
      </c>
      <c r="E213" s="99">
        <f t="shared" si="7"/>
        <v>0</v>
      </c>
      <c r="F213" s="99">
        <f t="shared" si="5"/>
        <v>-558800000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254</v>
      </c>
      <c r="E214" s="99">
        <f t="shared" si="7"/>
        <v>0</v>
      </c>
      <c r="F214" s="99">
        <f t="shared" si="5"/>
        <v>-127127000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251</v>
      </c>
      <c r="E215" s="99">
        <f t="shared" si="7"/>
        <v>0</v>
      </c>
      <c r="F215" s="99">
        <f t="shared" si="5"/>
        <v>-11295000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251</v>
      </c>
      <c r="E216" s="99">
        <f t="shared" si="7"/>
        <v>1</v>
      </c>
      <c r="F216" s="99">
        <f t="shared" si="5"/>
        <v>250000000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251</v>
      </c>
      <c r="E217" s="99">
        <f t="shared" si="7"/>
        <v>0</v>
      </c>
      <c r="F217" s="99">
        <f t="shared" si="5"/>
        <v>-25100000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250</v>
      </c>
      <c r="E218" s="99">
        <f t="shared" si="7"/>
        <v>0</v>
      </c>
      <c r="F218" s="99">
        <f t="shared" si="5"/>
        <v>-75000000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247</v>
      </c>
      <c r="E219" s="99">
        <f t="shared" si="7"/>
        <v>0</v>
      </c>
      <c r="F219" s="99">
        <f t="shared" si="5"/>
        <v>-12574770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247</v>
      </c>
      <c r="E220" s="99">
        <f t="shared" si="7"/>
        <v>0</v>
      </c>
      <c r="F220" s="99">
        <f t="shared" si="5"/>
        <v>-135973500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245</v>
      </c>
      <c r="E221" s="99">
        <f t="shared" si="7"/>
        <v>1</v>
      </c>
      <c r="F221" s="99">
        <f t="shared" si="5"/>
        <v>390400000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244</v>
      </c>
      <c r="E222" s="99">
        <f t="shared" si="7"/>
        <v>0</v>
      </c>
      <c r="F222" s="99">
        <f t="shared" si="5"/>
        <v>-366170800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239</v>
      </c>
      <c r="E223" s="99">
        <f t="shared" si="7"/>
        <v>1</v>
      </c>
      <c r="F223" s="99">
        <f t="shared" si="5"/>
        <v>2051322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236</v>
      </c>
      <c r="E224" s="99">
        <f t="shared" si="7"/>
        <v>1</v>
      </c>
      <c r="F224" s="99">
        <f t="shared" si="5"/>
        <v>705000000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234</v>
      </c>
      <c r="E225" s="99">
        <f t="shared" si="7"/>
        <v>0</v>
      </c>
      <c r="F225" s="99">
        <f t="shared" si="5"/>
        <v>-702210600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233</v>
      </c>
      <c r="E226" s="99">
        <f t="shared" si="7"/>
        <v>1</v>
      </c>
      <c r="F226" s="99">
        <f t="shared" si="5"/>
        <v>696000000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233</v>
      </c>
      <c r="E227" s="99">
        <f t="shared" si="7"/>
        <v>0</v>
      </c>
      <c r="F227" s="99">
        <f t="shared" si="5"/>
        <v>-40868200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232</v>
      </c>
      <c r="E228" s="99">
        <f t="shared" si="7"/>
        <v>0</v>
      </c>
      <c r="F228" s="99">
        <f t="shared" si="5"/>
        <v>-278516000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232</v>
      </c>
      <c r="E229" s="99">
        <f t="shared" si="7"/>
        <v>0</v>
      </c>
      <c r="F229" s="99">
        <f t="shared" si="5"/>
        <v>-4768760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231</v>
      </c>
      <c r="E230" s="99">
        <f t="shared" si="7"/>
        <v>0</v>
      </c>
      <c r="F230" s="99">
        <f t="shared" si="5"/>
        <v>-234341646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230</v>
      </c>
      <c r="E231" s="99">
        <f t="shared" si="7"/>
        <v>0</v>
      </c>
      <c r="F231" s="99">
        <f t="shared" si="5"/>
        <v>-5571750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229</v>
      </c>
      <c r="E232" s="99">
        <f t="shared" si="7"/>
        <v>1</v>
      </c>
      <c r="F232" s="99">
        <f t="shared" si="5"/>
        <v>250800000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229</v>
      </c>
      <c r="E233" s="99">
        <f t="shared" si="7"/>
        <v>0</v>
      </c>
      <c r="F233" s="99">
        <f t="shared" si="5"/>
        <v>-33869100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225</v>
      </c>
      <c r="E234" s="99">
        <f t="shared" si="7"/>
        <v>0</v>
      </c>
      <c r="F234" s="99">
        <f t="shared" si="5"/>
        <v>-15292125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220</v>
      </c>
      <c r="E235" s="99">
        <f t="shared" si="7"/>
        <v>0</v>
      </c>
      <c r="F235" s="99">
        <f t="shared" si="5"/>
        <v>-25241480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219</v>
      </c>
      <c r="E236" s="99">
        <f t="shared" si="7"/>
        <v>0</v>
      </c>
      <c r="F236" s="99">
        <f t="shared" si="5"/>
        <v>-78840000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219</v>
      </c>
      <c r="E237" s="99">
        <f t="shared" si="7"/>
        <v>0</v>
      </c>
      <c r="F237" s="99">
        <f t="shared" si="5"/>
        <v>-46209000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219</v>
      </c>
      <c r="E238" s="99">
        <f t="shared" si="7"/>
        <v>0</v>
      </c>
      <c r="F238" s="99">
        <f t="shared" si="5"/>
        <v>-41544300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218</v>
      </c>
      <c r="E239" s="99">
        <f t="shared" si="7"/>
        <v>0</v>
      </c>
      <c r="F239" s="99">
        <f t="shared" si="5"/>
        <v>-87309000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218</v>
      </c>
      <c r="E240" s="99">
        <f t="shared" si="7"/>
        <v>1</v>
      </c>
      <c r="F240" s="99">
        <f t="shared" si="5"/>
        <v>86800000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215</v>
      </c>
      <c r="E241" s="99">
        <f t="shared" si="7"/>
        <v>0</v>
      </c>
      <c r="F241" s="99">
        <f t="shared" si="5"/>
        <v>-68988125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208</v>
      </c>
      <c r="E242" s="99">
        <f t="shared" si="7"/>
        <v>1</v>
      </c>
      <c r="F242" s="99">
        <f t="shared" si="5"/>
        <v>1257318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206</v>
      </c>
      <c r="E243" s="99">
        <f t="shared" si="7"/>
        <v>0</v>
      </c>
      <c r="F243" s="99">
        <f t="shared" si="5"/>
        <v>-76323000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191</v>
      </c>
      <c r="E244" s="99">
        <f t="shared" si="7"/>
        <v>1</v>
      </c>
      <c r="F244" s="99">
        <f t="shared" si="5"/>
        <v>570000000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189</v>
      </c>
      <c r="E245" s="99">
        <f t="shared" si="7"/>
        <v>0</v>
      </c>
      <c r="F245" s="99">
        <f t="shared" si="5"/>
        <v>-15120000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188</v>
      </c>
      <c r="E246" s="99">
        <f t="shared" si="7"/>
        <v>0</v>
      </c>
      <c r="F246" s="99">
        <f t="shared" si="5"/>
        <v>-507600000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188</v>
      </c>
      <c r="E247" s="99">
        <f t="shared" si="7"/>
        <v>0</v>
      </c>
      <c r="F247" s="99">
        <f t="shared" si="5"/>
        <v>-5640000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186</v>
      </c>
      <c r="E248" s="99">
        <f t="shared" si="7"/>
        <v>0</v>
      </c>
      <c r="F248" s="99">
        <f t="shared" si="5"/>
        <v>-22320000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185</v>
      </c>
      <c r="E249" s="99">
        <f>IF(B250&gt;0,1,0)</f>
        <v>1</v>
      </c>
      <c r="F249" s="99">
        <f>B250*(D249-E249)</f>
        <v>147200000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184</v>
      </c>
      <c r="E250" s="99">
        <f>IF(B251&gt;0,1,0)</f>
        <v>0</v>
      </c>
      <c r="F250" s="99">
        <f>B251*(D250-E250)</f>
        <v>-3578800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183</v>
      </c>
      <c r="E251" s="99">
        <f>IF(B252&gt;0,1,0)</f>
        <v>0</v>
      </c>
      <c r="F251" s="99">
        <f>B252*(D251-E251)</f>
        <v>-91500000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183</v>
      </c>
      <c r="E252" s="99">
        <f>IF(B253&gt;0,1,0)</f>
        <v>1</v>
      </c>
      <c r="F252" s="99">
        <f>B253*(D252-E252)</f>
        <v>91000000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183</v>
      </c>
      <c r="E253" s="99">
        <f t="shared" ref="E253:E278" si="9">IF(B254&gt;0,1,0)</f>
        <v>0</v>
      </c>
      <c r="F253" s="99">
        <f>B254*(D253-E253)</f>
        <v>-83194179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183</v>
      </c>
      <c r="E254" s="99">
        <f t="shared" si="9"/>
        <v>0</v>
      </c>
      <c r="F254" s="99">
        <f t="shared" ref="F254:F278" si="10">B255*(D254-E254)</f>
        <v>-3586800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182</v>
      </c>
      <c r="E255" s="99">
        <f t="shared" si="9"/>
        <v>0</v>
      </c>
      <c r="F255" s="99">
        <f t="shared" si="10"/>
        <v>-4590040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182</v>
      </c>
      <c r="E256" s="99">
        <f t="shared" si="9"/>
        <v>0</v>
      </c>
      <c r="F256" s="99">
        <f t="shared" si="10"/>
        <v>-27209000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181</v>
      </c>
      <c r="E257" s="99">
        <f t="shared" si="9"/>
        <v>0</v>
      </c>
      <c r="F257" s="99">
        <f t="shared" si="10"/>
        <v>-28055000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181</v>
      </c>
      <c r="E258" s="99">
        <f t="shared" si="9"/>
        <v>0</v>
      </c>
      <c r="F258" s="99">
        <f t="shared" si="10"/>
        <v>-905000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99</v>
      </c>
      <c r="E259" s="99">
        <f t="shared" si="9"/>
        <v>1</v>
      </c>
      <c r="F259" s="99">
        <f t="shared" si="10"/>
        <v>9800000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17</v>
      </c>
      <c r="E260" s="99">
        <f t="shared" si="9"/>
        <v>1</v>
      </c>
      <c r="F260" s="99">
        <f t="shared" si="10"/>
        <v>48000000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16</v>
      </c>
      <c r="E261" s="99">
        <f t="shared" si="9"/>
        <v>0</v>
      </c>
      <c r="F261" s="99">
        <f t="shared" si="10"/>
        <v>-1064000</v>
      </c>
      <c r="G261" s="99" t="s">
        <v>3892</v>
      </c>
    </row>
    <row r="262" spans="1:11">
      <c r="A262" s="99" t="s">
        <v>4619</v>
      </c>
      <c r="B262" s="113">
        <v>-66500</v>
      </c>
      <c r="C262" s="99">
        <v>2</v>
      </c>
      <c r="D262" s="99">
        <f t="shared" si="8"/>
        <v>13</v>
      </c>
      <c r="E262" s="99">
        <f t="shared" si="9"/>
        <v>0</v>
      </c>
      <c r="F262" s="99">
        <f t="shared" si="10"/>
        <v>-492414</v>
      </c>
      <c r="G262" s="99" t="s">
        <v>3965</v>
      </c>
      <c r="K262" t="s">
        <v>25</v>
      </c>
    </row>
    <row r="263" spans="1:11">
      <c r="A263" s="99" t="s">
        <v>4620</v>
      </c>
      <c r="B263" s="113">
        <v>-37878</v>
      </c>
      <c r="C263" s="99">
        <v>2</v>
      </c>
      <c r="D263" s="99">
        <f t="shared" si="8"/>
        <v>11</v>
      </c>
      <c r="E263" s="99">
        <f t="shared" si="9"/>
        <v>0</v>
      </c>
      <c r="F263" s="99">
        <f t="shared" si="10"/>
        <v>-456500</v>
      </c>
      <c r="G263" s="99" t="s">
        <v>4621</v>
      </c>
      <c r="J263" t="s">
        <v>25</v>
      </c>
      <c r="K263" t="s">
        <v>25</v>
      </c>
    </row>
    <row r="264" spans="1:11">
      <c r="A264" s="99" t="s">
        <v>4614</v>
      </c>
      <c r="B264" s="113">
        <v>-41500</v>
      </c>
      <c r="C264" s="99">
        <v>3</v>
      </c>
      <c r="D264" s="99">
        <f t="shared" si="8"/>
        <v>9</v>
      </c>
      <c r="E264" s="99">
        <f t="shared" si="9"/>
        <v>0</v>
      </c>
      <c r="F264" s="99">
        <f t="shared" si="10"/>
        <v>-1710000</v>
      </c>
      <c r="G264" s="99" t="s">
        <v>1039</v>
      </c>
      <c r="J264" t="s">
        <v>25</v>
      </c>
    </row>
    <row r="265" spans="1:11">
      <c r="A265" s="99" t="s">
        <v>4654</v>
      </c>
      <c r="B265" s="113">
        <v>-190000</v>
      </c>
      <c r="C265" s="99">
        <v>1</v>
      </c>
      <c r="D265" s="99">
        <f t="shared" si="8"/>
        <v>6</v>
      </c>
      <c r="E265" s="99">
        <f t="shared" si="9"/>
        <v>0</v>
      </c>
      <c r="F265" s="99">
        <f t="shared" si="10"/>
        <v>-330000</v>
      </c>
      <c r="G265" s="99"/>
    </row>
    <row r="266" spans="1:11">
      <c r="A266" s="99" t="s">
        <v>4653</v>
      </c>
      <c r="B266" s="113">
        <v>-55000</v>
      </c>
      <c r="C266" s="99">
        <v>1</v>
      </c>
      <c r="D266" s="99">
        <f t="shared" si="8"/>
        <v>5</v>
      </c>
      <c r="E266" s="99">
        <f t="shared" si="9"/>
        <v>0</v>
      </c>
      <c r="F266" s="99">
        <f t="shared" si="10"/>
        <v>-146975</v>
      </c>
      <c r="G266" s="99"/>
    </row>
    <row r="267" spans="1:11">
      <c r="A267" s="99" t="s">
        <v>4636</v>
      </c>
      <c r="B267" s="113">
        <v>-29395</v>
      </c>
      <c r="C267" s="99">
        <v>2</v>
      </c>
      <c r="D267" s="99">
        <f t="shared" si="8"/>
        <v>4</v>
      </c>
      <c r="E267" s="99">
        <f t="shared" si="9"/>
        <v>0</v>
      </c>
      <c r="F267" s="99">
        <f t="shared" si="10"/>
        <v>-200000</v>
      </c>
      <c r="G267" s="99"/>
    </row>
    <row r="268" spans="1:11">
      <c r="A268" s="99" t="s">
        <v>4235</v>
      </c>
      <c r="B268" s="113">
        <v>-50000</v>
      </c>
      <c r="C268" s="99">
        <v>1</v>
      </c>
      <c r="D268" s="99">
        <f t="shared" si="8"/>
        <v>2</v>
      </c>
      <c r="E268" s="99">
        <f t="shared" si="9"/>
        <v>0</v>
      </c>
      <c r="F268" s="99">
        <f t="shared" si="10"/>
        <v>-160000</v>
      </c>
      <c r="G268" s="99"/>
    </row>
    <row r="269" spans="1:11">
      <c r="A269" s="99" t="s">
        <v>4656</v>
      </c>
      <c r="B269" s="113">
        <v>-80000</v>
      </c>
      <c r="C269" s="99">
        <v>1</v>
      </c>
      <c r="D269" s="99">
        <f t="shared" si="8"/>
        <v>1</v>
      </c>
      <c r="E269" s="99">
        <f t="shared" si="9"/>
        <v>0</v>
      </c>
      <c r="F269" s="99">
        <f t="shared" si="10"/>
        <v>0</v>
      </c>
      <c r="G269" s="99"/>
    </row>
    <row r="270" spans="1:11">
      <c r="A270" s="99"/>
      <c r="B270" s="113"/>
      <c r="C270" s="99"/>
      <c r="D270" s="99">
        <f t="shared" si="8"/>
        <v>0</v>
      </c>
      <c r="E270" s="99">
        <f t="shared" si="9"/>
        <v>0</v>
      </c>
      <c r="F270" s="99">
        <f t="shared" si="10"/>
        <v>0</v>
      </c>
      <c r="G270" s="99"/>
    </row>
    <row r="271" spans="1:11">
      <c r="A271" s="99"/>
      <c r="B271" s="113"/>
      <c r="C271" s="99"/>
      <c r="D271" s="99">
        <f t="shared" si="8"/>
        <v>0</v>
      </c>
      <c r="E271" s="99">
        <f t="shared" si="9"/>
        <v>0</v>
      </c>
      <c r="F271" s="99">
        <f t="shared" si="10"/>
        <v>0</v>
      </c>
      <c r="G271" s="99"/>
    </row>
    <row r="272" spans="1:11">
      <c r="A272" s="99"/>
      <c r="B272" s="113"/>
      <c r="C272" s="99"/>
      <c r="D272" s="99">
        <f t="shared" si="8"/>
        <v>0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2550026</v>
      </c>
      <c r="C280" s="11"/>
      <c r="D280" s="11"/>
      <c r="E280" s="11"/>
      <c r="F280" s="29">
        <f>SUM(F2:F278)</f>
        <v>18883765728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19711655.248434238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9"/>
  <sheetViews>
    <sheetView tabSelected="1" topLeftCell="E101" zoomScaleNormal="100" workbookViewId="0">
      <selection activeCell="K120" sqref="K120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 t="shared" ref="E3:E14" si="1"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14" si="2">C3*$K$2</f>
        <v>3030000</v>
      </c>
      <c r="D4" s="3">
        <f t="shared" ref="D4:D14" si="3">D3*$K$2</f>
        <v>2525000</v>
      </c>
      <c r="E4" s="3">
        <f t="shared" si="1"/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2"/>
        <v>3060300</v>
      </c>
      <c r="D5" s="3">
        <f t="shared" si="3"/>
        <v>2550250</v>
      </c>
      <c r="E5" s="3">
        <f t="shared" si="1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2"/>
        <v>3090903</v>
      </c>
      <c r="D6" s="3">
        <f t="shared" si="3"/>
        <v>2575752.5</v>
      </c>
      <c r="E6" s="3">
        <f t="shared" si="1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2"/>
        <v>3121812.03</v>
      </c>
      <c r="D7" s="3">
        <f t="shared" si="3"/>
        <v>2601510.0249999999</v>
      </c>
      <c r="E7" s="3">
        <f t="shared" si="1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2"/>
        <v>3153030.1502999999</v>
      </c>
      <c r="D8" s="3">
        <f t="shared" si="3"/>
        <v>2627525.12525</v>
      </c>
      <c r="E8" s="3">
        <f t="shared" si="1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2"/>
        <v>3184560.4518029997</v>
      </c>
      <c r="D9" s="3">
        <f t="shared" si="3"/>
        <v>2653800.3765024999</v>
      </c>
      <c r="E9" s="3">
        <f t="shared" si="1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2"/>
        <v>3216406.0563210296</v>
      </c>
      <c r="D10" s="3">
        <f t="shared" si="3"/>
        <v>2680338.3802675251</v>
      </c>
      <c r="E10" s="3">
        <f t="shared" si="1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2"/>
        <v>3248570.1168842399</v>
      </c>
      <c r="D11" s="3">
        <f t="shared" si="3"/>
        <v>2707141.7640702003</v>
      </c>
      <c r="E11" s="3">
        <f t="shared" si="1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2"/>
        <v>3281055.8180530826</v>
      </c>
      <c r="D12" s="3">
        <f t="shared" si="3"/>
        <v>2734213.1817109021</v>
      </c>
      <c r="E12" s="3">
        <f t="shared" si="1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2"/>
        <v>3313866.3762336136</v>
      </c>
      <c r="D13" s="3">
        <f t="shared" si="3"/>
        <v>2761555.3135280111</v>
      </c>
      <c r="E13" s="3">
        <f t="shared" si="1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2"/>
        <v>3347005.0399959497</v>
      </c>
      <c r="D14" s="3">
        <f t="shared" si="3"/>
        <v>2789170.8666632911</v>
      </c>
      <c r="E14" s="46">
        <f t="shared" si="1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 t="shared" ref="C16:C62" si="4">C15*$K$2</f>
        <v>3686500</v>
      </c>
      <c r="D16" s="3">
        <f t="shared" ref="D16:D62" si="5">D15*$K$2</f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2550026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4"/>
        <v>3723365</v>
      </c>
      <c r="D17" s="3">
        <f t="shared" si="5"/>
        <v>3024596.5</v>
      </c>
      <c r="E17" s="3">
        <f>E16*$L$2+C17-D17</f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6730341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4"/>
        <v>3760598.65</v>
      </c>
      <c r="D18" s="3">
        <f t="shared" si="5"/>
        <v>3054842.4649999999</v>
      </c>
      <c r="E18" s="3">
        <f>E17*$L$2+C18-D18</f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4"/>
        <v>3798204.6365</v>
      </c>
      <c r="D19" s="3">
        <f t="shared" si="5"/>
        <v>3085390.8896499998</v>
      </c>
      <c r="E19" s="3">
        <f>E18*$L$2+C19-D19</f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4"/>
        <v>3836186.6828649999</v>
      </c>
      <c r="D20" s="3">
        <f t="shared" si="5"/>
        <v>3116244.7985465</v>
      </c>
      <c r="E20" s="3">
        <f>E19*$L$2+C20-D20</f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6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S56</f>
        <v>115</v>
      </c>
      <c r="T20" s="169" t="s">
        <v>4310</v>
      </c>
      <c r="U20" s="169">
        <v>192.1</v>
      </c>
      <c r="V20" s="169">
        <f t="shared" ref="V20:V33" si="6">U20*(1+$N$81+$Q$15*S20/36500)</f>
        <v>211.19842410958904</v>
      </c>
      <c r="W20" s="32">
        <f t="shared" ref="W20:W33" si="7">V20*(1+$W$19/100)</f>
        <v>215.42239259178083</v>
      </c>
      <c r="X20" s="32">
        <f t="shared" ref="X20:X33" si="8">V20*(1+$X$19/100)</f>
        <v>219.6463610739726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286</v>
      </c>
      <c r="AM20" s="113">
        <f>AJ20*AL20</f>
        <v>5148000000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4"/>
        <v>3874548.5496936501</v>
      </c>
      <c r="D21" s="117">
        <f t="shared" si="5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-N31</f>
        <v>80606654.000219777</v>
      </c>
      <c r="M21" s="169" t="s">
        <v>4302</v>
      </c>
      <c r="N21" s="113">
        <f>O21*P21</f>
        <v>12635528.199999999</v>
      </c>
      <c r="O21" s="99">
        <v>73207</v>
      </c>
      <c r="P21" s="188">
        <f>P42</f>
        <v>172.6</v>
      </c>
      <c r="Q21" s="170">
        <v>1450345</v>
      </c>
      <c r="R21" s="169" t="s">
        <v>4306</v>
      </c>
      <c r="S21" s="194">
        <f>S20-36</f>
        <v>79</v>
      </c>
      <c r="T21" s="169" t="s">
        <v>4311</v>
      </c>
      <c r="U21" s="169">
        <v>313.7</v>
      </c>
      <c r="V21" s="169">
        <f t="shared" si="6"/>
        <v>336.22451945205478</v>
      </c>
      <c r="W21" s="32">
        <f t="shared" si="7"/>
        <v>342.94900984109586</v>
      </c>
      <c r="X21" s="32">
        <f t="shared" si="8"/>
        <v>349.67350023013699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9">AL22+AK21</f>
        <v>285</v>
      </c>
      <c r="AM21" s="113">
        <f t="shared" ref="AM21:AM123" si="10">AJ21*AL21</f>
        <v>712500000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4"/>
        <v>3913294.0351905865</v>
      </c>
      <c r="D22" s="3">
        <f t="shared" si="5"/>
        <v>3178881.3189972849</v>
      </c>
      <c r="E22" s="3">
        <f t="shared" ref="E22:E62" si="11"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-3112403</v>
      </c>
      <c r="M22" s="169" t="s">
        <v>4314</v>
      </c>
      <c r="N22" s="113">
        <f>O22*P22</f>
        <v>8659515.2000000011</v>
      </c>
      <c r="O22" s="99">
        <v>28504</v>
      </c>
      <c r="P22" s="188">
        <f>P43</f>
        <v>303.8</v>
      </c>
      <c r="Q22" s="170">
        <v>400069</v>
      </c>
      <c r="R22" s="169" t="s">
        <v>4312</v>
      </c>
      <c r="S22" s="194">
        <f>S21-1</f>
        <v>78</v>
      </c>
      <c r="T22" s="169" t="s">
        <v>4313</v>
      </c>
      <c r="U22" s="169">
        <v>314.8</v>
      </c>
      <c r="V22" s="169">
        <f t="shared" si="6"/>
        <v>337.16201205479456</v>
      </c>
      <c r="W22" s="32">
        <f t="shared" si="7"/>
        <v>343.90525229589048</v>
      </c>
      <c r="X22" s="32">
        <f t="shared" si="8"/>
        <v>350.64849253698634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9"/>
        <v>284</v>
      </c>
      <c r="AM22" s="113">
        <f t="shared" si="10"/>
        <v>2272000000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4"/>
        <v>3952426.9755424922</v>
      </c>
      <c r="D23" s="3">
        <f t="shared" si="5"/>
        <v>3210670.1321872575</v>
      </c>
      <c r="E23" s="3">
        <f t="shared" si="11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/>
      <c r="L23" s="117"/>
      <c r="M23" s="169" t="s">
        <v>4645</v>
      </c>
      <c r="N23" s="113">
        <f>O23*P23</f>
        <v>76252.800000000003</v>
      </c>
      <c r="O23" s="99">
        <v>338</v>
      </c>
      <c r="P23" s="188">
        <f>P47</f>
        <v>225.6</v>
      </c>
      <c r="Q23" s="170">
        <v>7118256</v>
      </c>
      <c r="R23" s="169" t="s">
        <v>4312</v>
      </c>
      <c r="S23" s="194">
        <f>S22</f>
        <v>78</v>
      </c>
      <c r="T23" s="169" t="s">
        <v>4543</v>
      </c>
      <c r="U23" s="169">
        <v>313</v>
      </c>
      <c r="V23" s="169">
        <f t="shared" si="6"/>
        <v>335.23414794520551</v>
      </c>
      <c r="W23" s="32">
        <f t="shared" si="7"/>
        <v>341.93883090410964</v>
      </c>
      <c r="X23" s="32">
        <f t="shared" si="8"/>
        <v>348.64351386301377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9"/>
        <v>283</v>
      </c>
      <c r="AM23" s="113">
        <f t="shared" si="10"/>
        <v>-22513216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4"/>
        <v>3991951.2452979172</v>
      </c>
      <c r="D24" s="3">
        <f t="shared" si="5"/>
        <v>3242776.8335091299</v>
      </c>
      <c r="E24" s="3">
        <f t="shared" si="11"/>
        <v>280306345.38193864</v>
      </c>
      <c r="F24" s="3">
        <f>L61</f>
        <v>257763180.00021976</v>
      </c>
      <c r="G24" s="95">
        <f t="shared" si="0"/>
        <v>22543165.381718874</v>
      </c>
      <c r="H24" s="11"/>
      <c r="I24" s="96"/>
      <c r="J24" s="96"/>
      <c r="K24" s="169" t="s">
        <v>456</v>
      </c>
      <c r="L24" s="117">
        <v>196000</v>
      </c>
      <c r="M24" s="169" t="s">
        <v>4401</v>
      </c>
      <c r="N24" s="113">
        <f>O24*P24</f>
        <v>4097126</v>
      </c>
      <c r="O24" s="99">
        <v>781</v>
      </c>
      <c r="P24" s="99">
        <f>P44</f>
        <v>5246</v>
      </c>
      <c r="Q24" s="170">
        <v>595156</v>
      </c>
      <c r="R24" s="169" t="s">
        <v>4399</v>
      </c>
      <c r="S24" s="195">
        <f>S23-16</f>
        <v>62</v>
      </c>
      <c r="T24" s="169" t="s">
        <v>4402</v>
      </c>
      <c r="U24" s="169">
        <v>5808.5</v>
      </c>
      <c r="V24" s="169">
        <f t="shared" si="6"/>
        <v>6149.8170082191782</v>
      </c>
      <c r="W24" s="32">
        <f t="shared" si="7"/>
        <v>6272.8133483835618</v>
      </c>
      <c r="X24" s="32">
        <f t="shared" si="8"/>
        <v>6395.8096885479454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9"/>
        <v>282</v>
      </c>
      <c r="AM24" s="113">
        <f t="shared" si="10"/>
        <v>46671000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4"/>
        <v>4031870.7577508963</v>
      </c>
      <c r="D25" s="3">
        <f t="shared" si="5"/>
        <v>3275204.6018442214</v>
      </c>
      <c r="E25" s="3">
        <f t="shared" si="11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55</v>
      </c>
      <c r="T25" s="19" t="s">
        <v>4440</v>
      </c>
      <c r="U25" s="169">
        <v>5474</v>
      </c>
      <c r="V25" s="169">
        <f t="shared" si="6"/>
        <v>5766.266608219179</v>
      </c>
      <c r="W25" s="32">
        <f t="shared" si="7"/>
        <v>5881.5919403835624</v>
      </c>
      <c r="X25" s="32">
        <f t="shared" si="8"/>
        <v>5996.9172725479466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9"/>
        <v>270</v>
      </c>
      <c r="AM25" s="113">
        <f t="shared" si="10"/>
        <v>-7784188290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4"/>
        <v>4072189.4653284051</v>
      </c>
      <c r="D26" s="3">
        <f t="shared" si="5"/>
        <v>3307956.6478626635</v>
      </c>
      <c r="E26" s="46">
        <f t="shared" si="11"/>
        <v>293166754.03185946</v>
      </c>
      <c r="F26" s="3"/>
      <c r="G26" s="11"/>
      <c r="H26" s="11"/>
      <c r="J26" s="25"/>
      <c r="K26" s="169"/>
      <c r="L26" s="117"/>
      <c r="M26" s="192" t="s">
        <v>4467</v>
      </c>
      <c r="N26" s="113">
        <v>6</v>
      </c>
      <c r="O26" s="69"/>
      <c r="P26" s="99"/>
      <c r="Q26" s="170">
        <v>2197673</v>
      </c>
      <c r="R26" s="169" t="s">
        <v>4437</v>
      </c>
      <c r="S26" s="169">
        <f>S25</f>
        <v>55</v>
      </c>
      <c r="T26" s="19" t="s">
        <v>4441</v>
      </c>
      <c r="U26" s="169">
        <v>5349</v>
      </c>
      <c r="V26" s="169">
        <f t="shared" si="6"/>
        <v>5634.5926356164391</v>
      </c>
      <c r="W26" s="32">
        <f>V26*(1+$W$19/100)</f>
        <v>5747.284488328768</v>
      </c>
      <c r="X26" s="32">
        <f t="shared" si="8"/>
        <v>5859.9763410410969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9"/>
        <v>264</v>
      </c>
      <c r="AM26" s="113">
        <f t="shared" si="10"/>
        <v>4884000000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4"/>
        <v>4112911.3599816891</v>
      </c>
      <c r="D27" s="3">
        <f t="shared" si="5"/>
        <v>3341036.2143412903</v>
      </c>
      <c r="E27" s="3">
        <f t="shared" si="11"/>
        <v>299801964.25813711</v>
      </c>
      <c r="F27" s="3"/>
      <c r="G27" s="11"/>
      <c r="H27" s="11"/>
      <c r="J27" s="25"/>
      <c r="K27" s="169"/>
      <c r="L27" s="117"/>
      <c r="M27" s="192" t="s">
        <v>4645</v>
      </c>
      <c r="N27" s="113">
        <f>O27*P27</f>
        <v>76252.800000000003</v>
      </c>
      <c r="O27" s="69">
        <v>338</v>
      </c>
      <c r="P27" s="99">
        <f>P47</f>
        <v>225.6</v>
      </c>
      <c r="Q27" s="170">
        <v>1353959</v>
      </c>
      <c r="R27" s="169" t="s">
        <v>4437</v>
      </c>
      <c r="S27" s="202">
        <f>S26</f>
        <v>55</v>
      </c>
      <c r="T27" s="19" t="s">
        <v>4483</v>
      </c>
      <c r="U27" s="169">
        <v>192.2</v>
      </c>
      <c r="V27" s="169">
        <f t="shared" si="6"/>
        <v>202.46190027397262</v>
      </c>
      <c r="W27" s="32">
        <f t="shared" si="7"/>
        <v>206.51113827945207</v>
      </c>
      <c r="X27" s="32">
        <f t="shared" si="8"/>
        <v>210.56037628493152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9"/>
        <v>263</v>
      </c>
      <c r="AM27" s="113">
        <f t="shared" si="10"/>
        <v>-4878650000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4"/>
        <v>4154040.4735815059</v>
      </c>
      <c r="D28" s="3">
        <f t="shared" si="5"/>
        <v>3374446.5764847035</v>
      </c>
      <c r="E28" s="3">
        <f t="shared" si="11"/>
        <v>306577597.44039667</v>
      </c>
      <c r="F28" s="3"/>
      <c r="G28" s="11"/>
      <c r="H28" s="11"/>
      <c r="K28" s="169"/>
      <c r="L28" s="117"/>
      <c r="M28" s="192" t="s">
        <v>4446</v>
      </c>
      <c r="N28" s="113">
        <f>O28*P28</f>
        <v>2992021</v>
      </c>
      <c r="O28" s="69">
        <v>17335</v>
      </c>
      <c r="P28" s="99">
        <f>P42</f>
        <v>172.6</v>
      </c>
      <c r="Q28" s="170">
        <v>1614398</v>
      </c>
      <c r="R28" s="169" t="s">
        <v>4445</v>
      </c>
      <c r="S28" s="169">
        <f>S27-3</f>
        <v>52</v>
      </c>
      <c r="T28" s="19" t="s">
        <v>4521</v>
      </c>
      <c r="U28" s="169">
        <v>184.6</v>
      </c>
      <c r="V28" s="169">
        <f t="shared" si="6"/>
        <v>194.03128986301368</v>
      </c>
      <c r="W28" s="32">
        <f t="shared" si="7"/>
        <v>197.91191566027396</v>
      </c>
      <c r="X28" s="32">
        <f t="shared" si="8"/>
        <v>201.79254145753424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9"/>
        <v>262</v>
      </c>
      <c r="AM28" s="113">
        <f t="shared" si="10"/>
        <v>-17019782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4"/>
        <v>4195580.8783173207</v>
      </c>
      <c r="D29" s="3">
        <f t="shared" si="5"/>
        <v>3408191.0422495506</v>
      </c>
      <c r="E29" s="3">
        <f t="shared" si="11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133576</v>
      </c>
      <c r="R29" s="169" t="s">
        <v>4528</v>
      </c>
      <c r="S29" s="201">
        <f>S28-22</f>
        <v>30</v>
      </c>
      <c r="T29" s="169" t="s">
        <v>4529</v>
      </c>
      <c r="U29" s="169">
        <v>166.2</v>
      </c>
      <c r="V29" s="169">
        <f t="shared" si="6"/>
        <v>171.88631671232878</v>
      </c>
      <c r="W29" s="32">
        <f t="shared" si="7"/>
        <v>175.32404304657535</v>
      </c>
      <c r="X29" s="32">
        <f t="shared" si="8"/>
        <v>178.76176938082193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9"/>
        <v>257</v>
      </c>
      <c r="AM29" s="113">
        <f t="shared" si="10"/>
        <v>1644800000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4"/>
        <v>4237536.6871004943</v>
      </c>
      <c r="D30" s="3">
        <f t="shared" si="5"/>
        <v>3442272.9526720461</v>
      </c>
      <c r="E30" s="3">
        <f t="shared" si="11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220803</v>
      </c>
      <c r="R30" s="169" t="s">
        <v>4232</v>
      </c>
      <c r="S30" s="201">
        <f>S29-1</f>
        <v>29</v>
      </c>
      <c r="T30" s="169" t="s">
        <v>4535</v>
      </c>
      <c r="U30" s="169">
        <v>166</v>
      </c>
      <c r="V30" s="169">
        <f t="shared" si="6"/>
        <v>171.55213150684932</v>
      </c>
      <c r="W30" s="32">
        <f t="shared" si="7"/>
        <v>174.98317413698632</v>
      </c>
      <c r="X30" s="32">
        <f t="shared" si="8"/>
        <v>178.41421676712329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9"/>
        <v>256</v>
      </c>
      <c r="AM30" s="113">
        <f t="shared" si="10"/>
        <v>-43520000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4"/>
        <v>4279912.0539714992</v>
      </c>
      <c r="D31" s="3">
        <f t="shared" si="5"/>
        <v>3476695.6821987666</v>
      </c>
      <c r="E31" s="3">
        <f t="shared" si="11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-S93</f>
        <v>-80606654.000219777</v>
      </c>
      <c r="O31" s="96" t="s">
        <v>25</v>
      </c>
      <c r="P31" s="96" t="s">
        <v>25</v>
      </c>
      <c r="Q31" s="170">
        <v>1023940</v>
      </c>
      <c r="R31" s="169" t="s">
        <v>4536</v>
      </c>
      <c r="S31" s="201">
        <f>S30-2</f>
        <v>27</v>
      </c>
      <c r="T31" s="169" t="s">
        <v>4544</v>
      </c>
      <c r="U31" s="169">
        <v>160.19999999999999</v>
      </c>
      <c r="V31" s="169">
        <f t="shared" si="6"/>
        <v>165.31235506849316</v>
      </c>
      <c r="W31" s="32">
        <f t="shared" si="7"/>
        <v>168.61860216986304</v>
      </c>
      <c r="X31" s="32">
        <f t="shared" si="8"/>
        <v>171.92484927123289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251</v>
      </c>
      <c r="AM31" s="113">
        <f t="shared" si="10"/>
        <v>-1581300000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4"/>
        <v>4322711.1745112138</v>
      </c>
      <c r="D32" s="3">
        <f t="shared" si="5"/>
        <v>3511462.6390207545</v>
      </c>
      <c r="E32" s="3">
        <f t="shared" si="11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66208</v>
      </c>
      <c r="R32" s="169" t="s">
        <v>4643</v>
      </c>
      <c r="S32" s="201">
        <f>S31-25</f>
        <v>2</v>
      </c>
      <c r="T32" s="169" t="s">
        <v>4647</v>
      </c>
      <c r="U32" s="169">
        <v>195</v>
      </c>
      <c r="V32" s="169">
        <f t="shared" si="6"/>
        <v>197.48317808219181</v>
      </c>
      <c r="W32" s="32">
        <f t="shared" si="7"/>
        <v>201.43284164383564</v>
      </c>
      <c r="X32" s="32">
        <f t="shared" si="8"/>
        <v>205.3825052054795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9"/>
        <v>250</v>
      </c>
      <c r="AM32" s="113">
        <f t="shared" si="10"/>
        <v>-13003750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4"/>
        <v>4365938.2862563264</v>
      </c>
      <c r="D33" s="3">
        <f t="shared" si="5"/>
        <v>3546577.265410962</v>
      </c>
      <c r="E33" s="3">
        <f t="shared" si="11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>
        <v>168846</v>
      </c>
      <c r="R33" s="169" t="s">
        <v>3692</v>
      </c>
      <c r="S33" s="201">
        <f>S32-3</f>
        <v>-1</v>
      </c>
      <c r="T33" s="169" t="s">
        <v>4659</v>
      </c>
      <c r="U33" s="169">
        <v>172.2</v>
      </c>
      <c r="V33" s="169">
        <f t="shared" si="6"/>
        <v>173.99654136986302</v>
      </c>
      <c r="W33" s="32">
        <f t="shared" si="7"/>
        <v>177.47647219726028</v>
      </c>
      <c r="X33" s="32">
        <f t="shared" si="8"/>
        <v>180.95640302465756</v>
      </c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9"/>
        <v>234</v>
      </c>
      <c r="AM33" s="113">
        <f t="shared" si="10"/>
        <v>4684071600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4"/>
        <v>4409597.6691188896</v>
      </c>
      <c r="D34" s="3">
        <f t="shared" si="5"/>
        <v>3582043.0380650717</v>
      </c>
      <c r="E34" s="3">
        <f t="shared" si="11"/>
        <v>350346035.35818261</v>
      </c>
      <c r="F34" s="3"/>
      <c r="G34" s="11"/>
      <c r="H34" s="11"/>
      <c r="K34" s="169" t="s">
        <v>4573</v>
      </c>
      <c r="L34" s="117">
        <v>-50000000</v>
      </c>
      <c r="M34" s="73"/>
      <c r="N34" s="113"/>
      <c r="O34" s="96"/>
      <c r="P34" s="96"/>
      <c r="Q34" s="170"/>
      <c r="R34" s="169"/>
      <c r="S34" s="169"/>
      <c r="T34" s="169"/>
      <c r="U34" s="169"/>
      <c r="V34" s="169" t="s">
        <v>25</v>
      </c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9"/>
        <v>234</v>
      </c>
      <c r="AM34" s="113">
        <f t="shared" si="10"/>
        <v>237385044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4"/>
        <v>4453693.6458100788</v>
      </c>
      <c r="D35" s="3">
        <f t="shared" si="5"/>
        <v>3617863.4684457225</v>
      </c>
      <c r="E35" s="3">
        <f t="shared" si="11"/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Q35" s="170">
        <f>SUM(N21:N24)-SUM(Q20:Q34)</f>
        <v>-1628482.8000000007</v>
      </c>
      <c r="R35" s="169"/>
      <c r="S35" s="169" t="s">
        <v>25</v>
      </c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9"/>
        <v>222</v>
      </c>
      <c r="AM35" s="113">
        <f t="shared" si="10"/>
        <v>79920000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si="4"/>
        <v>4498230.5822681794</v>
      </c>
      <c r="D36" s="3">
        <f t="shared" si="5"/>
        <v>3654042.1031301799</v>
      </c>
      <c r="E36" s="3">
        <f t="shared" si="11"/>
        <v>366196750.44670284</v>
      </c>
      <c r="F36" s="3"/>
      <c r="G36" s="11"/>
      <c r="H36" s="11"/>
      <c r="K36" s="169" t="s">
        <v>4517</v>
      </c>
      <c r="L36" s="117">
        <v>-1000000</v>
      </c>
      <c r="M36" s="169" t="s">
        <v>4575</v>
      </c>
      <c r="N36" s="113">
        <v>-20000000</v>
      </c>
      <c r="O36" s="96"/>
      <c r="P36" s="114"/>
      <c r="R36" s="115"/>
      <c r="S36" s="115" t="s">
        <v>25</v>
      </c>
      <c r="T36" s="115"/>
      <c r="U36" s="115"/>
      <c r="V36" s="115"/>
      <c r="W36" s="198"/>
      <c r="X36" s="198"/>
      <c r="Y36" s="96" t="s">
        <v>25</v>
      </c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9"/>
        <v>220</v>
      </c>
      <c r="AM36" s="113">
        <f t="shared" si="10"/>
        <v>-77000000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4"/>
        <v>4543212.888090861</v>
      </c>
      <c r="D37" s="3">
        <f t="shared" si="5"/>
        <v>3690582.5241614818</v>
      </c>
      <c r="E37" s="3">
        <f t="shared" si="11"/>
        <v>374373315.81956631</v>
      </c>
      <c r="F37" s="3"/>
      <c r="G37" s="11"/>
      <c r="H37" s="11"/>
      <c r="K37" s="169"/>
      <c r="L37" s="117"/>
      <c r="M37" s="169" t="s">
        <v>4576</v>
      </c>
      <c r="N37" s="113">
        <v>-50000000</v>
      </c>
      <c r="O37" s="96"/>
      <c r="P37" s="96"/>
      <c r="Q37" s="96"/>
      <c r="R37" s="115"/>
      <c r="S37" s="115"/>
      <c r="T37" s="115" t="s">
        <v>25</v>
      </c>
      <c r="U37" s="115"/>
      <c r="V37" s="115"/>
      <c r="W37" s="198"/>
      <c r="X37" s="198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9"/>
        <v>220</v>
      </c>
      <c r="AM37" s="113">
        <f t="shared" si="10"/>
        <v>220000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4"/>
        <v>4588645.0169717697</v>
      </c>
      <c r="D38" s="3">
        <f t="shared" si="5"/>
        <v>3727488.3494030968</v>
      </c>
      <c r="E38" s="46">
        <f t="shared" si="11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657</v>
      </c>
      <c r="R38" s="169"/>
      <c r="S38" s="169"/>
      <c r="T38" s="169"/>
      <c r="U38" s="169"/>
      <c r="V38" s="169"/>
      <c r="W38" s="32"/>
      <c r="X38" s="32"/>
      <c r="Y38" s="96" t="s">
        <v>25</v>
      </c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9"/>
        <v>219</v>
      </c>
      <c r="AM38" s="113">
        <f t="shared" si="10"/>
        <v>7360590000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 ht="30">
      <c r="A39" s="62">
        <v>99</v>
      </c>
      <c r="B39" s="11">
        <v>37</v>
      </c>
      <c r="C39" s="44">
        <f t="shared" si="4"/>
        <v>4634531.4671414876</v>
      </c>
      <c r="D39" s="3">
        <f t="shared" si="5"/>
        <v>3764763.232897128</v>
      </c>
      <c r="E39" s="3">
        <f t="shared" si="11"/>
        <v>391246145.81384128</v>
      </c>
      <c r="F39" s="3"/>
      <c r="G39" s="11"/>
      <c r="H39" s="11"/>
      <c r="K39" s="99" t="s">
        <v>4638</v>
      </c>
      <c r="L39" s="117">
        <v>2000000</v>
      </c>
      <c r="M39" s="169" t="s">
        <v>4466</v>
      </c>
      <c r="N39" s="113">
        <v>8332139</v>
      </c>
      <c r="Q39" s="169" t="s">
        <v>267</v>
      </c>
      <c r="R39" s="169" t="s">
        <v>180</v>
      </c>
      <c r="S39" s="169" t="s">
        <v>183</v>
      </c>
      <c r="T39" s="169" t="s">
        <v>8</v>
      </c>
      <c r="U39" s="169" t="s">
        <v>4369</v>
      </c>
      <c r="V39" s="73" t="s">
        <v>4371</v>
      </c>
      <c r="W39" s="32">
        <v>2</v>
      </c>
      <c r="X39" s="32">
        <v>4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9"/>
        <v>215</v>
      </c>
      <c r="AM39" s="113">
        <f t="shared" si="10"/>
        <v>-3354000000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4"/>
        <v>4680876.7818129025</v>
      </c>
      <c r="D40" s="3">
        <f t="shared" si="5"/>
        <v>3802410.8652260993</v>
      </c>
      <c r="E40" s="3">
        <f t="shared" si="11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69">
        <v>0</v>
      </c>
      <c r="R40" s="169" t="s">
        <v>4173</v>
      </c>
      <c r="S40" s="169">
        <f>S56</f>
        <v>115</v>
      </c>
      <c r="T40" s="169"/>
      <c r="U40" s="169"/>
      <c r="V40" s="73"/>
      <c r="W40" s="32"/>
      <c r="X40" s="32"/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9"/>
        <v>212</v>
      </c>
      <c r="AM40" s="113">
        <f t="shared" si="10"/>
        <v>1590000000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4"/>
        <v>4727685.5496310312</v>
      </c>
      <c r="D41" s="3">
        <f t="shared" si="5"/>
        <v>3840434.9738783604</v>
      </c>
      <c r="E41" s="3">
        <f t="shared" si="11"/>
        <v>408835775.91539168</v>
      </c>
      <c r="F41" s="3"/>
      <c r="G41" s="11"/>
      <c r="H41" s="11"/>
      <c r="K41" s="56"/>
      <c r="L41" s="117"/>
      <c r="M41" s="212" t="s">
        <v>4397</v>
      </c>
      <c r="N41" s="113">
        <f t="shared" ref="N41:N50" si="12">O41*P41</f>
        <v>2078011</v>
      </c>
      <c r="O41" s="99">
        <v>611</v>
      </c>
      <c r="P41" s="99">
        <v>3401</v>
      </c>
      <c r="Q41" s="170">
        <v>863944</v>
      </c>
      <c r="R41" s="169" t="s">
        <v>4445</v>
      </c>
      <c r="S41" s="169">
        <f>S40-62</f>
        <v>53</v>
      </c>
      <c r="T41" s="193" t="s">
        <v>4522</v>
      </c>
      <c r="U41" s="169">
        <v>184.6</v>
      </c>
      <c r="V41" s="169">
        <f t="shared" ref="V41:V47" si="13">U41*(1+$N$81+$Q$15*S41/36500)</f>
        <v>194.17290082191784</v>
      </c>
      <c r="W41" s="32">
        <f t="shared" ref="W41:W47" si="14">V41*(1+$W$19/100)</f>
        <v>198.0563588383562</v>
      </c>
      <c r="X41" s="32">
        <f t="shared" ref="X41:X47" si="15">V41*(1+$X$19/100)</f>
        <v>201.93981685479454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9"/>
        <v>208</v>
      </c>
      <c r="AM41" s="113">
        <f t="shared" si="10"/>
        <v>-20384000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4"/>
        <v>4774962.4051273419</v>
      </c>
      <c r="D42" s="3">
        <f t="shared" si="5"/>
        <v>3878839.323617144</v>
      </c>
      <c r="E42" s="3">
        <f t="shared" si="11"/>
        <v>417908614.51520973</v>
      </c>
      <c r="F42" s="3"/>
      <c r="G42" s="11"/>
      <c r="H42" s="11"/>
      <c r="K42" s="56"/>
      <c r="L42" s="117"/>
      <c r="M42" s="19" t="s">
        <v>4180</v>
      </c>
      <c r="N42" s="113">
        <f t="shared" si="12"/>
        <v>205754388.79999998</v>
      </c>
      <c r="O42" s="99">
        <v>1192088</v>
      </c>
      <c r="P42" s="99">
        <v>172.6</v>
      </c>
      <c r="Q42" s="170">
        <v>1692313</v>
      </c>
      <c r="R42" s="169" t="s">
        <v>4525</v>
      </c>
      <c r="S42" s="201">
        <f>S41-21</f>
        <v>32</v>
      </c>
      <c r="T42" s="192" t="s">
        <v>4526</v>
      </c>
      <c r="U42" s="169">
        <v>168.5</v>
      </c>
      <c r="V42" s="169">
        <f t="shared" si="13"/>
        <v>174.52352876712331</v>
      </c>
      <c r="W42" s="32">
        <f t="shared" si="14"/>
        <v>178.01399934246578</v>
      </c>
      <c r="X42" s="32">
        <f t="shared" si="15"/>
        <v>181.50446991780825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9"/>
        <v>207</v>
      </c>
      <c r="AM42" s="113">
        <f t="shared" si="10"/>
        <v>-5382000000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4"/>
        <v>4822712.0291786157</v>
      </c>
      <c r="D43" s="3">
        <f t="shared" si="5"/>
        <v>3917627.7168533155</v>
      </c>
      <c r="E43" s="3">
        <f t="shared" si="11"/>
        <v>427171871.11783922</v>
      </c>
      <c r="F43" s="3"/>
      <c r="G43" s="11"/>
      <c r="H43" s="11"/>
      <c r="K43" s="99"/>
      <c r="L43" s="117"/>
      <c r="M43" s="19" t="s">
        <v>4297</v>
      </c>
      <c r="N43" s="113">
        <f t="shared" si="12"/>
        <v>350281.4</v>
      </c>
      <c r="O43" s="69">
        <v>1153</v>
      </c>
      <c r="P43" s="69">
        <v>303.8</v>
      </c>
      <c r="Q43" s="170">
        <v>101153</v>
      </c>
      <c r="R43" s="169" t="s">
        <v>4528</v>
      </c>
      <c r="S43" s="201">
        <f>S42-1</f>
        <v>31</v>
      </c>
      <c r="T43" s="192" t="s">
        <v>4530</v>
      </c>
      <c r="U43" s="169">
        <v>166.7</v>
      </c>
      <c r="V43" s="169">
        <f t="shared" si="13"/>
        <v>172.53130301369862</v>
      </c>
      <c r="W43" s="32">
        <f t="shared" si="14"/>
        <v>175.98192907397259</v>
      </c>
      <c r="X43" s="32">
        <f t="shared" si="15"/>
        <v>179.43255513424657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9"/>
        <v>207</v>
      </c>
      <c r="AM43" s="113">
        <f t="shared" si="10"/>
        <v>5175000000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4"/>
        <v>4870939.1494704019</v>
      </c>
      <c r="D44" s="3">
        <f t="shared" si="5"/>
        <v>3956803.9940218488</v>
      </c>
      <c r="E44" s="3">
        <f t="shared" si="11"/>
        <v>436629443.69564456</v>
      </c>
      <c r="F44" s="3"/>
      <c r="G44" s="11"/>
      <c r="H44" s="11"/>
      <c r="K44" s="99"/>
      <c r="L44" s="117"/>
      <c r="M44" s="19" t="s">
        <v>4401</v>
      </c>
      <c r="N44" s="113">
        <f t="shared" si="12"/>
        <v>1872822</v>
      </c>
      <c r="O44" s="69">
        <v>357</v>
      </c>
      <c r="P44" s="69">
        <v>5246</v>
      </c>
      <c r="Q44" s="170">
        <v>183105</v>
      </c>
      <c r="R44" s="169" t="s">
        <v>4232</v>
      </c>
      <c r="S44" s="201">
        <f>S43-1</f>
        <v>30</v>
      </c>
      <c r="T44" s="192" t="s">
        <v>4534</v>
      </c>
      <c r="U44" s="169">
        <v>166.6</v>
      </c>
      <c r="V44" s="169">
        <f t="shared" si="13"/>
        <v>172.30000219178083</v>
      </c>
      <c r="W44" s="32">
        <f t="shared" si="14"/>
        <v>175.74600223561646</v>
      </c>
      <c r="X44" s="32">
        <f t="shared" si="15"/>
        <v>179.19200227945208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9"/>
        <v>206</v>
      </c>
      <c r="AM44" s="113">
        <f t="shared" si="10"/>
        <v>22660000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4"/>
        <v>4919648.5409651063</v>
      </c>
      <c r="D45" s="3">
        <f t="shared" si="5"/>
        <v>3996372.0339620672</v>
      </c>
      <c r="E45" s="3">
        <f t="shared" si="11"/>
        <v>446285309.07656044</v>
      </c>
      <c r="F45" s="3"/>
      <c r="G45" s="11"/>
      <c r="H45" s="11"/>
      <c r="K45" s="99"/>
      <c r="L45" s="117"/>
      <c r="M45" s="19" t="s">
        <v>4416</v>
      </c>
      <c r="N45" s="117">
        <f t="shared" si="12"/>
        <v>552.29999999999995</v>
      </c>
      <c r="O45" s="69">
        <v>1</v>
      </c>
      <c r="P45" s="69">
        <v>552.29999999999995</v>
      </c>
      <c r="Q45" s="170">
        <v>66208</v>
      </c>
      <c r="R45" s="169" t="s">
        <v>4643</v>
      </c>
      <c r="S45" s="201">
        <f>S44-27</f>
        <v>3</v>
      </c>
      <c r="T45" s="192" t="s">
        <v>4647</v>
      </c>
      <c r="U45" s="169">
        <v>195</v>
      </c>
      <c r="V45" s="169">
        <f t="shared" si="13"/>
        <v>197.63276712328769</v>
      </c>
      <c r="W45" s="32">
        <f t="shared" si="14"/>
        <v>201.58542246575345</v>
      </c>
      <c r="X45" s="32">
        <f t="shared" si="15"/>
        <v>205.53807780821921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9"/>
        <v>205</v>
      </c>
      <c r="AM45" s="113">
        <f t="shared" si="10"/>
        <v>77900000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4"/>
        <v>4968845.0263747573</v>
      </c>
      <c r="D46" s="3">
        <f t="shared" si="5"/>
        <v>4036335.7543016877</v>
      </c>
      <c r="E46" s="3">
        <f t="shared" si="11"/>
        <v>456143524.53016472</v>
      </c>
      <c r="F46" s="3"/>
      <c r="G46" s="11"/>
      <c r="H46" s="11"/>
      <c r="K46" s="99"/>
      <c r="L46" s="117"/>
      <c r="M46" s="21" t="s">
        <v>4585</v>
      </c>
      <c r="N46" s="117">
        <f t="shared" si="12"/>
        <v>106833.09999999999</v>
      </c>
      <c r="O46" s="69">
        <v>197</v>
      </c>
      <c r="P46" s="69">
        <v>542.29999999999995</v>
      </c>
      <c r="Q46" s="170">
        <v>168846</v>
      </c>
      <c r="R46" s="169" t="s">
        <v>3692</v>
      </c>
      <c r="S46" s="201">
        <f>S45-3</f>
        <v>0</v>
      </c>
      <c r="T46" s="192" t="s">
        <v>4659</v>
      </c>
      <c r="U46" s="169">
        <v>172.2</v>
      </c>
      <c r="V46" s="169">
        <f t="shared" si="13"/>
        <v>174.12864000000002</v>
      </c>
      <c r="W46" s="32">
        <f t="shared" si="14"/>
        <v>177.61121280000003</v>
      </c>
      <c r="X46" s="32">
        <f t="shared" si="15"/>
        <v>181.09378560000002</v>
      </c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9"/>
        <v>198</v>
      </c>
      <c r="AM46" s="113">
        <f t="shared" si="10"/>
        <v>89100000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4"/>
        <v>5018533.4766385052</v>
      </c>
      <c r="D47" s="3">
        <f t="shared" si="5"/>
        <v>4076699.1118447045</v>
      </c>
      <c r="E47" s="3">
        <f t="shared" si="11"/>
        <v>466208229.38556182</v>
      </c>
      <c r="F47" s="3"/>
      <c r="G47" s="11"/>
      <c r="H47" s="11"/>
      <c r="K47" s="99"/>
      <c r="L47" s="117"/>
      <c r="M47" s="21" t="s">
        <v>4645</v>
      </c>
      <c r="N47" s="117">
        <f t="shared" si="12"/>
        <v>76478.399999999994</v>
      </c>
      <c r="O47" s="69">
        <v>339</v>
      </c>
      <c r="P47" s="69">
        <v>225.6</v>
      </c>
      <c r="Q47" s="170"/>
      <c r="R47" s="169"/>
      <c r="S47" s="113"/>
      <c r="T47" s="113"/>
      <c r="U47" s="169"/>
      <c r="V47" s="169">
        <f t="shared" si="13"/>
        <v>0</v>
      </c>
      <c r="W47" s="32">
        <f t="shared" si="14"/>
        <v>0</v>
      </c>
      <c r="X47" s="32">
        <f t="shared" si="15"/>
        <v>0</v>
      </c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9"/>
        <v>192</v>
      </c>
      <c r="AM47" s="113">
        <f t="shared" si="10"/>
        <v>537600000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4"/>
        <v>5068718.8114048904</v>
      </c>
      <c r="D48" s="65">
        <f t="shared" si="5"/>
        <v>4117466.1029631514</v>
      </c>
      <c r="E48" s="65">
        <f t="shared" si="11"/>
        <v>476483646.68171477</v>
      </c>
      <c r="F48" s="3"/>
      <c r="G48" s="11"/>
      <c r="H48" s="11" t="s">
        <v>611</v>
      </c>
      <c r="K48" s="99"/>
      <c r="L48" s="117"/>
      <c r="M48" s="21" t="s">
        <v>4613</v>
      </c>
      <c r="N48" s="117">
        <f t="shared" si="12"/>
        <v>450549.5</v>
      </c>
      <c r="O48" s="69">
        <v>1205</v>
      </c>
      <c r="P48" s="69">
        <v>373.9</v>
      </c>
      <c r="Q48" s="113">
        <f>SUM(N28:N28)-SUM(Q40:Q47)</f>
        <v>-83548</v>
      </c>
      <c r="R48" s="169"/>
      <c r="S48" s="169"/>
      <c r="T48" s="169"/>
      <c r="U48" s="169"/>
      <c r="V48" s="169"/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9"/>
        <v>191</v>
      </c>
      <c r="AM48" s="113">
        <f t="shared" si="10"/>
        <v>-286500000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4"/>
        <v>5119405.9995189393</v>
      </c>
      <c r="D49" s="3">
        <f t="shared" si="5"/>
        <v>4158640.7639927831</v>
      </c>
      <c r="E49" s="3">
        <f t="shared" si="11"/>
        <v>486974084.8508752</v>
      </c>
      <c r="F49" s="3"/>
      <c r="G49" s="11"/>
      <c r="H49" s="11"/>
      <c r="K49" s="99" t="s">
        <v>25</v>
      </c>
      <c r="L49" s="117"/>
      <c r="M49" s="21" t="s">
        <v>4651</v>
      </c>
      <c r="N49" s="117">
        <f t="shared" si="12"/>
        <v>2632094.6999999997</v>
      </c>
      <c r="O49" s="69">
        <v>3543</v>
      </c>
      <c r="P49" s="69">
        <v>742.9</v>
      </c>
      <c r="R49" s="115"/>
      <c r="S49" s="115"/>
      <c r="T49" s="115" t="s">
        <v>25</v>
      </c>
      <c r="U49" s="115"/>
      <c r="V49" s="115"/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191</v>
      </c>
      <c r="AM49" s="113">
        <f t="shared" si="10"/>
        <v>582550000</v>
      </c>
      <c r="AN49" s="99"/>
    </row>
    <row r="50" spans="1:40">
      <c r="A50" s="62">
        <v>99</v>
      </c>
      <c r="B50" s="11">
        <v>48</v>
      </c>
      <c r="C50" s="51">
        <f t="shared" si="4"/>
        <v>5170600.0595141286</v>
      </c>
      <c r="D50" s="51">
        <f t="shared" si="5"/>
        <v>4200227.1716327108</v>
      </c>
      <c r="E50" s="52">
        <f t="shared" si="11"/>
        <v>497683939.43577409</v>
      </c>
      <c r="F50" s="51"/>
      <c r="G50" s="11"/>
      <c r="H50" s="11"/>
      <c r="K50" s="99"/>
      <c r="L50" s="117"/>
      <c r="M50" s="21" t="s">
        <v>1086</v>
      </c>
      <c r="N50" s="117">
        <f t="shared" si="12"/>
        <v>12300000</v>
      </c>
      <c r="O50" s="69">
        <v>30</v>
      </c>
      <c r="P50" s="69">
        <v>410000</v>
      </c>
      <c r="Q50" t="s">
        <v>25</v>
      </c>
      <c r="S50" s="26" t="s">
        <v>25</v>
      </c>
      <c r="T50" t="s">
        <v>25</v>
      </c>
      <c r="U50" s="96" t="s">
        <v>25</v>
      </c>
      <c r="V50" s="115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9"/>
        <v>188</v>
      </c>
      <c r="AM50" s="113">
        <f t="shared" si="10"/>
        <v>-1560327056</v>
      </c>
      <c r="AN50" s="99"/>
    </row>
    <row r="51" spans="1:40">
      <c r="A51" s="63">
        <v>1400</v>
      </c>
      <c r="B51" s="11">
        <v>49</v>
      </c>
      <c r="C51" s="44">
        <f t="shared" si="4"/>
        <v>5222306.0601092698</v>
      </c>
      <c r="D51" s="3">
        <f t="shared" si="5"/>
        <v>4242229.4433490383</v>
      </c>
      <c r="E51" s="3">
        <f t="shared" si="11"/>
        <v>508617694.84124976</v>
      </c>
      <c r="F51" s="3"/>
      <c r="G51" s="11"/>
      <c r="H51" s="11"/>
      <c r="K51" s="99"/>
      <c r="L51" s="117"/>
      <c r="M51" s="73"/>
      <c r="N51" s="117"/>
      <c r="O51" s="122"/>
      <c r="P51" s="122"/>
      <c r="Q51" t="s">
        <v>25</v>
      </c>
      <c r="T51" t="s">
        <v>25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9"/>
        <v>186</v>
      </c>
      <c r="AM51" s="113">
        <f t="shared" si="10"/>
        <v>930000000</v>
      </c>
      <c r="AN51" s="99"/>
    </row>
    <row r="52" spans="1:40">
      <c r="A52" s="63">
        <v>1400</v>
      </c>
      <c r="B52" s="11">
        <v>50</v>
      </c>
      <c r="C52" s="44">
        <f t="shared" si="4"/>
        <v>5274529.1207103627</v>
      </c>
      <c r="D52" s="3">
        <f t="shared" si="5"/>
        <v>4284651.7377825286</v>
      </c>
      <c r="E52" s="3">
        <f t="shared" si="11"/>
        <v>519779926.12100261</v>
      </c>
      <c r="F52" s="3"/>
      <c r="G52" s="11"/>
      <c r="H52" s="11"/>
      <c r="K52" s="99"/>
      <c r="L52" s="117"/>
      <c r="M52" s="169" t="s">
        <v>1153</v>
      </c>
      <c r="N52" s="117">
        <v>14908</v>
      </c>
      <c r="O52" s="96" t="s">
        <v>25</v>
      </c>
      <c r="P52" t="s">
        <v>25</v>
      </c>
      <c r="T52" t="s">
        <v>25</v>
      </c>
      <c r="U52" s="96" t="s">
        <v>25</v>
      </c>
      <c r="W52" s="198"/>
      <c r="X52" s="198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9"/>
        <v>172</v>
      </c>
      <c r="AM52" s="113">
        <f t="shared" si="10"/>
        <v>-15480000</v>
      </c>
      <c r="AN52" s="99"/>
    </row>
    <row r="53" spans="1:40">
      <c r="A53" s="63">
        <v>1400</v>
      </c>
      <c r="B53" s="11">
        <v>51</v>
      </c>
      <c r="C53" s="44">
        <f t="shared" si="4"/>
        <v>5327274.4119174667</v>
      </c>
      <c r="D53" s="3">
        <f t="shared" si="5"/>
        <v>4327498.2551603541</v>
      </c>
      <c r="E53" s="3">
        <f t="shared" si="11"/>
        <v>531175300.80017978</v>
      </c>
      <c r="F53" s="3"/>
      <c r="G53" s="11"/>
      <c r="H53" s="11"/>
      <c r="K53" s="99"/>
      <c r="L53" s="99"/>
      <c r="M53" s="169" t="s">
        <v>1154</v>
      </c>
      <c r="N53" s="117">
        <v>5282</v>
      </c>
      <c r="O53" s="96"/>
      <c r="W53" s="198"/>
      <c r="X53" s="198"/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9"/>
        <v>171</v>
      </c>
      <c r="AM53" s="113">
        <f t="shared" si="10"/>
        <v>957600000</v>
      </c>
      <c r="AN53" s="99"/>
    </row>
    <row r="54" spans="1:40" ht="30">
      <c r="A54" s="63">
        <v>1400</v>
      </c>
      <c r="B54" s="11">
        <v>52</v>
      </c>
      <c r="C54" s="49">
        <f t="shared" si="4"/>
        <v>5380547.1560366414</v>
      </c>
      <c r="D54" s="3">
        <f t="shared" si="5"/>
        <v>4370773.2377119577</v>
      </c>
      <c r="E54" s="3">
        <f t="shared" si="11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73" t="s">
        <v>4296</v>
      </c>
      <c r="R54" s="112"/>
      <c r="S54" s="112"/>
      <c r="T54" s="112"/>
      <c r="U54" s="169" t="s">
        <v>4369</v>
      </c>
      <c r="V54" s="36" t="s">
        <v>4371</v>
      </c>
      <c r="W54" s="32"/>
      <c r="X54" s="32"/>
      <c r="Y54">
        <v>961521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9"/>
        <v>167</v>
      </c>
      <c r="AM54" s="113">
        <f t="shared" si="10"/>
        <v>125250000</v>
      </c>
      <c r="AN54" s="99"/>
    </row>
    <row r="55" spans="1:40">
      <c r="A55" s="63">
        <v>1400</v>
      </c>
      <c r="B55" s="11">
        <v>53</v>
      </c>
      <c r="C55" s="49">
        <f t="shared" si="4"/>
        <v>5434352.6275970079</v>
      </c>
      <c r="D55" s="3">
        <f t="shared" si="5"/>
        <v>4414480.970089077</v>
      </c>
      <c r="E55" s="3">
        <f t="shared" si="11"/>
        <v>554684624.00670612</v>
      </c>
      <c r="F55" s="3"/>
      <c r="G55" s="11"/>
      <c r="H55" s="11"/>
      <c r="K55" s="169" t="s">
        <v>25</v>
      </c>
      <c r="L55" s="117"/>
      <c r="M55" s="169" t="s">
        <v>4181</v>
      </c>
      <c r="N55" s="113">
        <f>-O55*P55</f>
        <v>-14286619.799999999</v>
      </c>
      <c r="O55" s="99">
        <v>82773</v>
      </c>
      <c r="P55" s="99">
        <f>P42</f>
        <v>172.6</v>
      </c>
      <c r="Q55" s="112" t="s">
        <v>267</v>
      </c>
      <c r="R55" s="112" t="s">
        <v>180</v>
      </c>
      <c r="S55" s="112" t="s">
        <v>183</v>
      </c>
      <c r="T55" s="112" t="s">
        <v>8</v>
      </c>
      <c r="U55" s="169"/>
      <c r="V55" s="99"/>
      <c r="W55" s="32">
        <v>2</v>
      </c>
      <c r="X55" s="32">
        <v>4</v>
      </c>
      <c r="Y55">
        <v>44349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9"/>
        <v>165</v>
      </c>
      <c r="AM55" s="171">
        <f t="shared" si="10"/>
        <v>-699930000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4"/>
        <v>5488696.1538729779</v>
      </c>
      <c r="D56" s="3">
        <f t="shared" si="5"/>
        <v>4458625.7797899675</v>
      </c>
      <c r="E56" s="3">
        <f t="shared" si="11"/>
        <v>566808386.86092329</v>
      </c>
      <c r="F56" s="3"/>
      <c r="G56" s="11"/>
      <c r="H56" s="11"/>
      <c r="K56" s="169"/>
      <c r="L56" s="117"/>
      <c r="M56" s="169"/>
      <c r="N56" s="113"/>
      <c r="Q56" s="170">
        <v>184971545</v>
      </c>
      <c r="R56" s="169" t="s">
        <v>4173</v>
      </c>
      <c r="S56" s="194">
        <v>115</v>
      </c>
      <c r="T56" s="169" t="s">
        <v>4352</v>
      </c>
      <c r="U56" s="169">
        <v>192</v>
      </c>
      <c r="V56" s="99">
        <f t="shared" ref="V56:V80" si="16">U56*(1+$N$81+$Q$15*S56/36500)</f>
        <v>211.08848219178083</v>
      </c>
      <c r="W56" s="32">
        <f t="shared" ref="W56:W80" si="17">V56*(1+$W$19/100)</f>
        <v>215.31025183561644</v>
      </c>
      <c r="X56" s="32">
        <f t="shared" ref="X56:X80" si="18">V56*(1+$X$19/100)</f>
        <v>219.53202147945206</v>
      </c>
      <c r="Y56">
        <v>9625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9"/>
        <v>163</v>
      </c>
      <c r="AM56" s="113">
        <f t="shared" si="10"/>
        <v>668300000</v>
      </c>
      <c r="AN56" s="99"/>
    </row>
    <row r="57" spans="1:40">
      <c r="A57" s="63">
        <v>1400</v>
      </c>
      <c r="B57" s="11">
        <v>55</v>
      </c>
      <c r="C57" s="50">
        <f t="shared" si="4"/>
        <v>5543583.1154117081</v>
      </c>
      <c r="D57" s="3">
        <f t="shared" si="5"/>
        <v>4503212.0375878671</v>
      </c>
      <c r="E57" s="3">
        <f t="shared" si="11"/>
        <v>579184925.67596567</v>
      </c>
      <c r="F57" s="3"/>
      <c r="G57" s="11"/>
      <c r="H57" s="11"/>
      <c r="K57" s="169"/>
      <c r="L57" s="117"/>
      <c r="M57" s="169"/>
      <c r="N57" s="113"/>
      <c r="Q57" s="170">
        <v>9560464</v>
      </c>
      <c r="R57" s="169" t="s">
        <v>4300</v>
      </c>
      <c r="S57" s="194">
        <f>S56-31</f>
        <v>84</v>
      </c>
      <c r="T57" s="169" t="s">
        <v>4316</v>
      </c>
      <c r="U57" s="169">
        <v>214.57</v>
      </c>
      <c r="V57" s="99">
        <f t="shared" si="16"/>
        <v>230.79972208219178</v>
      </c>
      <c r="W57" s="32">
        <f t="shared" si="17"/>
        <v>235.41571652383561</v>
      </c>
      <c r="X57" s="32">
        <f t="shared" si="18"/>
        <v>240.03171096547945</v>
      </c>
      <c r="Y57">
        <v>6980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9"/>
        <v>163</v>
      </c>
      <c r="AM57" s="113">
        <f t="shared" si="10"/>
        <v>668300000</v>
      </c>
      <c r="AN57" s="99"/>
    </row>
    <row r="58" spans="1:40">
      <c r="A58" s="63">
        <v>1400</v>
      </c>
      <c r="B58" s="11">
        <v>56</v>
      </c>
      <c r="C58" s="50">
        <f t="shared" si="4"/>
        <v>5599018.9465658255</v>
      </c>
      <c r="D58" s="3">
        <f t="shared" si="5"/>
        <v>4548244.1579637462</v>
      </c>
      <c r="E58" s="3">
        <f t="shared" si="11"/>
        <v>591819398.97808707</v>
      </c>
      <c r="F58" s="3"/>
      <c r="G58" s="11"/>
      <c r="H58" s="11"/>
      <c r="K58" s="169"/>
      <c r="L58" s="117"/>
      <c r="M58" s="169" t="s">
        <v>4453</v>
      </c>
      <c r="N58" s="113">
        <f>-S94</f>
        <v>-11188398.593316667</v>
      </c>
      <c r="Q58" s="170">
        <v>2000000</v>
      </c>
      <c r="R58" s="169" t="s">
        <v>4347</v>
      </c>
      <c r="S58" s="169">
        <f>S57-11</f>
        <v>73</v>
      </c>
      <c r="T58" s="169" t="s">
        <v>4351</v>
      </c>
      <c r="U58" s="169">
        <v>206.8</v>
      </c>
      <c r="V58" s="99">
        <f t="shared" si="16"/>
        <v>220.69696000000005</v>
      </c>
      <c r="W58" s="32">
        <f t="shared" si="17"/>
        <v>225.11089920000006</v>
      </c>
      <c r="X58" s="32">
        <f t="shared" si="18"/>
        <v>229.52483840000005</v>
      </c>
      <c r="Y58">
        <v>6963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9"/>
        <v>162</v>
      </c>
      <c r="AM58" s="113">
        <f t="shared" si="10"/>
        <v>127980000</v>
      </c>
      <c r="AN58" s="99"/>
    </row>
    <row r="59" spans="1:40">
      <c r="A59" s="63">
        <v>1400</v>
      </c>
      <c r="B59" s="11">
        <v>57</v>
      </c>
      <c r="C59" s="50">
        <f t="shared" si="4"/>
        <v>5655009.1360314842</v>
      </c>
      <c r="D59" s="3">
        <f t="shared" si="5"/>
        <v>4593726.5995433833</v>
      </c>
      <c r="E59" s="3">
        <f t="shared" si="11"/>
        <v>604717069.49413705</v>
      </c>
      <c r="F59" s="3"/>
      <c r="G59" s="11"/>
      <c r="H59" s="11"/>
      <c r="K59" s="169"/>
      <c r="L59" s="117"/>
      <c r="M59" s="169"/>
      <c r="N59" s="113"/>
      <c r="P59" t="s">
        <v>25</v>
      </c>
      <c r="Q59" s="170">
        <v>1429825</v>
      </c>
      <c r="R59" s="169" t="s">
        <v>4378</v>
      </c>
      <c r="S59" s="169">
        <f>S58-7</f>
        <v>66</v>
      </c>
      <c r="T59" s="169" t="s">
        <v>4387</v>
      </c>
      <c r="U59" s="169">
        <v>203.9</v>
      </c>
      <c r="V59" s="99">
        <f t="shared" si="16"/>
        <v>216.50716493150688</v>
      </c>
      <c r="W59" s="32">
        <f t="shared" si="17"/>
        <v>220.83730823013701</v>
      </c>
      <c r="X59" s="32">
        <f t="shared" si="18"/>
        <v>225.16745152876717</v>
      </c>
      <c r="Y59" s="96">
        <v>0</v>
      </c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9"/>
        <v>147</v>
      </c>
      <c r="AM59" s="173">
        <f t="shared" si="10"/>
        <v>-568155000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4"/>
        <v>5711559.227391799</v>
      </c>
      <c r="D60" s="3">
        <f t="shared" si="5"/>
        <v>4639663.8655388169</v>
      </c>
      <c r="E60" s="3">
        <f t="shared" si="11"/>
        <v>617883306.24587286</v>
      </c>
      <c r="F60" s="3"/>
      <c r="G60" s="11"/>
      <c r="H60" s="11"/>
      <c r="K60" s="169"/>
      <c r="L60" s="117"/>
      <c r="M60" s="169"/>
      <c r="N60" s="113"/>
      <c r="Q60" s="170">
        <v>1420747</v>
      </c>
      <c r="R60" s="169" t="s">
        <v>4378</v>
      </c>
      <c r="S60" s="169">
        <f>S59</f>
        <v>66</v>
      </c>
      <c r="T60" s="169" t="s">
        <v>4389</v>
      </c>
      <c r="U60" s="169">
        <v>203.1</v>
      </c>
      <c r="V60" s="99">
        <f t="shared" si="16"/>
        <v>215.65770082191781</v>
      </c>
      <c r="W60" s="32">
        <f t="shared" si="17"/>
        <v>219.97085483835616</v>
      </c>
      <c r="X60" s="32">
        <f t="shared" si="18"/>
        <v>224.28400885479454</v>
      </c>
      <c r="Y60" s="96">
        <v>9904</v>
      </c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9"/>
        <v>141</v>
      </c>
      <c r="AM60" s="113">
        <f t="shared" si="10"/>
        <v>2650800000</v>
      </c>
      <c r="AN60" s="20"/>
    </row>
    <row r="61" spans="1:40">
      <c r="A61" s="63">
        <v>1400</v>
      </c>
      <c r="B61" s="11">
        <v>59</v>
      </c>
      <c r="C61" s="3">
        <f t="shared" si="4"/>
        <v>5768674.819665717</v>
      </c>
      <c r="D61" s="3">
        <f t="shared" si="5"/>
        <v>4686060.5041942047</v>
      </c>
      <c r="E61" s="3">
        <f t="shared" si="11"/>
        <v>631323586.68626177</v>
      </c>
      <c r="F61" s="3"/>
      <c r="G61" s="11"/>
      <c r="H61" s="11"/>
      <c r="K61" s="169" t="s">
        <v>598</v>
      </c>
      <c r="L61" s="113">
        <f>SUM(L16:L44)</f>
        <v>257763180.00021976</v>
      </c>
      <c r="M61" s="169"/>
      <c r="N61" s="113">
        <f>SUM(N16:N57)</f>
        <v>325197115.39978021</v>
      </c>
      <c r="Q61" s="170">
        <v>2412371</v>
      </c>
      <c r="R61" s="169" t="s">
        <v>4380</v>
      </c>
      <c r="S61" s="169">
        <f>S60-1</f>
        <v>65</v>
      </c>
      <c r="T61" s="169" t="s">
        <v>4396</v>
      </c>
      <c r="U61" s="169">
        <v>3930</v>
      </c>
      <c r="V61" s="99">
        <f t="shared" si="16"/>
        <v>4169.9776438356175</v>
      </c>
      <c r="W61" s="32">
        <f t="shared" si="17"/>
        <v>4253.3771967123303</v>
      </c>
      <c r="X61" s="32">
        <f t="shared" si="18"/>
        <v>4336.7767495890421</v>
      </c>
      <c r="Y61" s="96">
        <v>0</v>
      </c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9"/>
        <v>138</v>
      </c>
      <c r="AM61" s="113">
        <f t="shared" si="10"/>
        <v>69000000</v>
      </c>
      <c r="AN61" s="20"/>
    </row>
    <row r="62" spans="1:40">
      <c r="A62" s="63">
        <v>1400</v>
      </c>
      <c r="B62" s="11">
        <v>60</v>
      </c>
      <c r="C62" s="3">
        <f t="shared" si="4"/>
        <v>5826361.5678623738</v>
      </c>
      <c r="D62" s="3">
        <f t="shared" si="5"/>
        <v>4732921.1092361463</v>
      </c>
      <c r="E62" s="46">
        <f t="shared" si="11"/>
        <v>645043498.87861323</v>
      </c>
      <c r="F62" s="3"/>
      <c r="G62" s="11"/>
      <c r="H62" s="11"/>
      <c r="K62" s="169" t="s">
        <v>599</v>
      </c>
      <c r="L62" s="113">
        <f>L16+L17+L24</f>
        <v>2868929</v>
      </c>
      <c r="M62" s="169"/>
      <c r="N62" s="113">
        <f>N16+N17+N32</f>
        <v>7343646</v>
      </c>
      <c r="Q62" s="170">
        <v>2010885</v>
      </c>
      <c r="R62" s="169" t="s">
        <v>4399</v>
      </c>
      <c r="S62" s="169">
        <f>S61-2</f>
        <v>63</v>
      </c>
      <c r="T62" s="169" t="s">
        <v>4405</v>
      </c>
      <c r="U62" s="169">
        <v>202.1</v>
      </c>
      <c r="V62" s="99">
        <f t="shared" si="16"/>
        <v>214.13076383561645</v>
      </c>
      <c r="W62" s="32">
        <f t="shared" si="17"/>
        <v>218.41337911232878</v>
      </c>
      <c r="X62" s="32">
        <f t="shared" si="18"/>
        <v>222.69599438904112</v>
      </c>
      <c r="Y62" s="96">
        <v>0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137</v>
      </c>
      <c r="AM62" s="113">
        <f t="shared" si="10"/>
        <v>27400000</v>
      </c>
      <c r="AN62" s="20"/>
    </row>
    <row r="63" spans="1:40">
      <c r="E63" s="26"/>
      <c r="K63" s="56" t="s">
        <v>716</v>
      </c>
      <c r="L63" s="1">
        <f>L61+N7</f>
        <v>327763180.00021976</v>
      </c>
      <c r="M63" s="113"/>
      <c r="N63" s="169"/>
      <c r="O63" s="115"/>
      <c r="P63" s="115"/>
      <c r="Q63" s="170">
        <v>1994038</v>
      </c>
      <c r="R63" s="169" t="s">
        <v>4410</v>
      </c>
      <c r="S63" s="169">
        <f>S62-3</f>
        <v>60</v>
      </c>
      <c r="T63" s="169" t="s">
        <v>4427</v>
      </c>
      <c r="U63" s="169">
        <v>5560.3</v>
      </c>
      <c r="V63" s="99">
        <f t="shared" si="16"/>
        <v>5878.5014969863023</v>
      </c>
      <c r="W63" s="32">
        <f t="shared" si="17"/>
        <v>5996.0715269260281</v>
      </c>
      <c r="X63" s="32">
        <f t="shared" si="18"/>
        <v>6113.6415568657549</v>
      </c>
      <c r="Y63" s="96">
        <v>10000</v>
      </c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9"/>
        <v>134</v>
      </c>
      <c r="AM63" s="113">
        <f t="shared" si="10"/>
        <v>134000000</v>
      </c>
      <c r="AN63" s="20"/>
    </row>
    <row r="64" spans="1:40">
      <c r="E64" s="26"/>
      <c r="O64" s="96"/>
      <c r="P64" s="96"/>
      <c r="Q64" s="170">
        <v>444</v>
      </c>
      <c r="R64" s="169" t="s">
        <v>4410</v>
      </c>
      <c r="S64" s="196">
        <f>S63</f>
        <v>60</v>
      </c>
      <c r="T64" s="169" t="s">
        <v>4648</v>
      </c>
      <c r="U64" s="169">
        <v>441.8</v>
      </c>
      <c r="V64" s="99">
        <f t="shared" si="16"/>
        <v>467.08306410958915</v>
      </c>
      <c r="W64" s="32">
        <f t="shared" si="17"/>
        <v>476.42472539178095</v>
      </c>
      <c r="X64" s="32">
        <f t="shared" si="18"/>
        <v>485.7663866739727</v>
      </c>
      <c r="Y64" s="96">
        <v>5664</v>
      </c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131</v>
      </c>
      <c r="AM64" s="113">
        <f t="shared" si="10"/>
        <v>170300000</v>
      </c>
      <c r="AN64" s="20"/>
    </row>
    <row r="65" spans="1:40">
      <c r="M65" s="25"/>
      <c r="O65" t="s">
        <v>25</v>
      </c>
      <c r="Q65" s="170">
        <v>1971103</v>
      </c>
      <c r="R65" s="169" t="s">
        <v>4422</v>
      </c>
      <c r="S65" s="169">
        <f>S64-1</f>
        <v>59</v>
      </c>
      <c r="T65" s="169" t="s">
        <v>4423</v>
      </c>
      <c r="U65" s="169">
        <v>196.2</v>
      </c>
      <c r="V65" s="99">
        <f t="shared" si="16"/>
        <v>207.27750575342466</v>
      </c>
      <c r="W65" s="32">
        <f t="shared" si="17"/>
        <v>211.42305586849315</v>
      </c>
      <c r="X65" s="32">
        <f t="shared" si="18"/>
        <v>215.56860598356167</v>
      </c>
      <c r="Y65" s="96">
        <v>10000</v>
      </c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9">AL66+AK65</f>
        <v>131</v>
      </c>
      <c r="AM65" s="113">
        <f t="shared" si="10"/>
        <v>130345000</v>
      </c>
      <c r="AN65" s="20"/>
    </row>
    <row r="66" spans="1:40">
      <c r="M66" s="25" t="s">
        <v>4081</v>
      </c>
      <c r="O66" s="115"/>
      <c r="P66" s="115"/>
      <c r="Q66" s="170">
        <v>1049856</v>
      </c>
      <c r="R66" s="169" t="s">
        <v>4445</v>
      </c>
      <c r="S66" s="202">
        <f>S65-6</f>
        <v>53</v>
      </c>
      <c r="T66" s="169" t="s">
        <v>4484</v>
      </c>
      <c r="U66" s="169">
        <v>184.5</v>
      </c>
      <c r="V66" s="99">
        <f t="shared" si="16"/>
        <v>194.06771506849319</v>
      </c>
      <c r="W66" s="32">
        <f t="shared" si="17"/>
        <v>197.94906936986305</v>
      </c>
      <c r="X66" s="32">
        <f t="shared" si="18"/>
        <v>201.83042367123292</v>
      </c>
      <c r="Y66" s="96">
        <v>8695</v>
      </c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9"/>
        <v>129</v>
      </c>
      <c r="AM66" s="113">
        <f t="shared" si="10"/>
        <v>1677000000</v>
      </c>
      <c r="AN66" s="20"/>
    </row>
    <row r="67" spans="1:40">
      <c r="A67" t="s">
        <v>25</v>
      </c>
      <c r="F67" t="s">
        <v>310</v>
      </c>
      <c r="G67" t="s">
        <v>4100</v>
      </c>
      <c r="M67" s="178"/>
      <c r="O67" s="115"/>
      <c r="P67" s="115"/>
      <c r="Q67" s="170">
        <v>1783234</v>
      </c>
      <c r="R67" s="169" t="s">
        <v>4447</v>
      </c>
      <c r="S67" s="169">
        <f>S66-2</f>
        <v>51</v>
      </c>
      <c r="T67" s="169" t="s">
        <v>4448</v>
      </c>
      <c r="U67" s="169">
        <v>177.5</v>
      </c>
      <c r="V67" s="99">
        <f t="shared" si="16"/>
        <v>186.43238356164386</v>
      </c>
      <c r="W67" s="32">
        <f t="shared" si="17"/>
        <v>190.16103123287675</v>
      </c>
      <c r="X67" s="32">
        <f t="shared" si="18"/>
        <v>193.88967890410962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9"/>
        <v>127</v>
      </c>
      <c r="AM67" s="113">
        <f t="shared" si="10"/>
        <v>-393700000</v>
      </c>
      <c r="AN67" s="20"/>
    </row>
    <row r="68" spans="1:40">
      <c r="F68" t="s">
        <v>4104</v>
      </c>
      <c r="G68" t="s">
        <v>4099</v>
      </c>
      <c r="M68" s="96" t="s">
        <v>4660</v>
      </c>
      <c r="Q68" s="170">
        <v>1662335</v>
      </c>
      <c r="R68" s="169" t="s">
        <v>4451</v>
      </c>
      <c r="S68" s="201">
        <f>S67-5</f>
        <v>46</v>
      </c>
      <c r="T68" s="73" t="s">
        <v>4625</v>
      </c>
      <c r="U68" s="169">
        <v>190.3</v>
      </c>
      <c r="V68" s="99">
        <f t="shared" si="16"/>
        <v>199.14660383561647</v>
      </c>
      <c r="W68" s="32">
        <f t="shared" si="17"/>
        <v>203.12953591232881</v>
      </c>
      <c r="X68" s="32">
        <f t="shared" si="18"/>
        <v>207.11246798904114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9"/>
        <v>124</v>
      </c>
      <c r="AM68" s="113">
        <f t="shared" si="10"/>
        <v>5659360000</v>
      </c>
      <c r="AN68" s="20"/>
    </row>
    <row r="69" spans="1:40">
      <c r="F69" t="s">
        <v>4105</v>
      </c>
      <c r="G69" t="s">
        <v>4101</v>
      </c>
      <c r="M69" s="122" t="s">
        <v>4417</v>
      </c>
      <c r="O69" s="114"/>
      <c r="Q69" s="170">
        <v>159753</v>
      </c>
      <c r="R69" s="169" t="s">
        <v>4582</v>
      </c>
      <c r="S69" s="169">
        <f>S68-25</f>
        <v>21</v>
      </c>
      <c r="T69" s="73" t="s">
        <v>4600</v>
      </c>
      <c r="U69" s="169">
        <v>286</v>
      </c>
      <c r="V69" s="99">
        <f t="shared" si="16"/>
        <v>293.81054246575343</v>
      </c>
      <c r="W69" s="32">
        <f t="shared" si="17"/>
        <v>299.68675331506853</v>
      </c>
      <c r="X69" s="32">
        <f t="shared" si="18"/>
        <v>305.56296416438357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9"/>
        <v>123</v>
      </c>
      <c r="AM69" s="113">
        <f t="shared" si="10"/>
        <v>4120500000</v>
      </c>
      <c r="AN69" s="20"/>
    </row>
    <row r="70" spans="1:40">
      <c r="G70" t="s">
        <v>4102</v>
      </c>
      <c r="M70" s="122" t="s">
        <v>4519</v>
      </c>
      <c r="N70" s="96"/>
      <c r="Q70" s="170">
        <v>172133</v>
      </c>
      <c r="R70" s="169" t="s">
        <v>4584</v>
      </c>
      <c r="S70" s="169">
        <f>S69-3</f>
        <v>18</v>
      </c>
      <c r="T70" s="73" t="s">
        <v>4601</v>
      </c>
      <c r="U70" s="169">
        <v>287</v>
      </c>
      <c r="V70" s="99">
        <f t="shared" si="16"/>
        <v>294.17735890410961</v>
      </c>
      <c r="W70" s="32">
        <f t="shared" si="17"/>
        <v>300.06090608219182</v>
      </c>
      <c r="X70" s="32">
        <f t="shared" si="18"/>
        <v>305.94445326027403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9"/>
        <v>122</v>
      </c>
      <c r="AM70" s="117">
        <f t="shared" si="10"/>
        <v>1464000000</v>
      </c>
      <c r="AN70" s="20"/>
    </row>
    <row r="71" spans="1:40">
      <c r="G71" t="s">
        <v>4103</v>
      </c>
      <c r="M71" s="122" t="s">
        <v>4606</v>
      </c>
      <c r="N71" s="96"/>
      <c r="P71" t="s">
        <v>25</v>
      </c>
      <c r="Q71" s="170">
        <v>100530</v>
      </c>
      <c r="R71" s="169" t="s">
        <v>4584</v>
      </c>
      <c r="S71" s="169">
        <f>S70</f>
        <v>18</v>
      </c>
      <c r="T71" s="73" t="s">
        <v>4602</v>
      </c>
      <c r="U71" s="169">
        <v>508</v>
      </c>
      <c r="V71" s="99">
        <f t="shared" si="16"/>
        <v>520.70417534246576</v>
      </c>
      <c r="W71" s="32">
        <f t="shared" si="17"/>
        <v>531.11825884931511</v>
      </c>
      <c r="X71" s="32">
        <f t="shared" si="18"/>
        <v>541.53234235616446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9"/>
        <v>121</v>
      </c>
      <c r="AM71" s="117">
        <f t="shared" si="10"/>
        <v>1875500000</v>
      </c>
      <c r="AN71" s="20"/>
    </row>
    <row r="72" spans="1:40">
      <c r="G72" t="s">
        <v>4107</v>
      </c>
      <c r="M72" s="211" t="s">
        <v>4599</v>
      </c>
      <c r="N72" s="96"/>
      <c r="P72" s="115"/>
      <c r="Q72" s="170">
        <v>499973</v>
      </c>
      <c r="R72" s="169" t="s">
        <v>4614</v>
      </c>
      <c r="S72" s="169">
        <f>S71-9</f>
        <v>9</v>
      </c>
      <c r="T72" s="73" t="s">
        <v>4615</v>
      </c>
      <c r="U72" s="169">
        <v>413</v>
      </c>
      <c r="V72" s="99">
        <f t="shared" si="16"/>
        <v>420.47699726027406</v>
      </c>
      <c r="W72" s="32">
        <f t="shared" si="17"/>
        <v>428.88653720547956</v>
      </c>
      <c r="X72" s="32">
        <f t="shared" si="18"/>
        <v>437.29607715068505</v>
      </c>
      <c r="Y72">
        <v>13000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9"/>
        <v>117</v>
      </c>
      <c r="AM72" s="117">
        <f t="shared" si="10"/>
        <v>17550000</v>
      </c>
      <c r="AN72" s="20"/>
    </row>
    <row r="73" spans="1:40">
      <c r="G73" t="s">
        <v>4106</v>
      </c>
      <c r="M73" s="122" t="s">
        <v>4518</v>
      </c>
      <c r="N73" s="96"/>
      <c r="P73" s="115" t="s">
        <v>25</v>
      </c>
      <c r="Q73" s="170">
        <v>11869317</v>
      </c>
      <c r="R73" s="169" t="s">
        <v>4626</v>
      </c>
      <c r="S73" s="169">
        <f>S72-2</f>
        <v>7</v>
      </c>
      <c r="T73" s="169" t="s">
        <v>4627</v>
      </c>
      <c r="U73" s="169">
        <v>395600</v>
      </c>
      <c r="V73" s="99">
        <f t="shared" si="16"/>
        <v>402155.03780821926</v>
      </c>
      <c r="W73" s="32">
        <f t="shared" si="17"/>
        <v>410198.13856438367</v>
      </c>
      <c r="X73" s="32">
        <f t="shared" si="18"/>
        <v>418241.23932054802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9"/>
        <v>116</v>
      </c>
      <c r="AM73" s="182">
        <f t="shared" si="10"/>
        <v>3364000000</v>
      </c>
      <c r="AN73" s="181" t="s">
        <v>4187</v>
      </c>
    </row>
    <row r="74" spans="1:40">
      <c r="M74" s="122" t="s">
        <v>4608</v>
      </c>
      <c r="O74" t="s">
        <v>25</v>
      </c>
      <c r="P74" s="115"/>
      <c r="Q74" s="170">
        <v>2272487</v>
      </c>
      <c r="R74" s="169" t="s">
        <v>4636</v>
      </c>
      <c r="S74" s="169">
        <f>S73-3</f>
        <v>4</v>
      </c>
      <c r="T74" s="169" t="s">
        <v>4637</v>
      </c>
      <c r="U74" s="169">
        <v>174.9</v>
      </c>
      <c r="V74" s="99">
        <f t="shared" si="16"/>
        <v>177.39555945205484</v>
      </c>
      <c r="W74" s="32">
        <f t="shared" si="17"/>
        <v>180.94347064109593</v>
      </c>
      <c r="X74" s="32">
        <f t="shared" si="18"/>
        <v>184.49138183013704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9"/>
        <v>101</v>
      </c>
      <c r="AM74" s="117">
        <f t="shared" si="10"/>
        <v>-13130000</v>
      </c>
      <c r="AN74" s="20" t="s">
        <v>4213</v>
      </c>
    </row>
    <row r="75" spans="1:40">
      <c r="M75" s="96">
        <f>O42+O21+O28-O55</f>
        <v>1199857</v>
      </c>
      <c r="N75" s="113">
        <f>M75*P42</f>
        <v>207095318.19999999</v>
      </c>
      <c r="P75" s="115"/>
      <c r="Q75" s="170">
        <v>66404</v>
      </c>
      <c r="R75" s="169" t="s">
        <v>4643</v>
      </c>
      <c r="S75" s="169">
        <f>S74-1</f>
        <v>3</v>
      </c>
      <c r="T75" s="169" t="s">
        <v>4644</v>
      </c>
      <c r="U75" s="169">
        <v>195</v>
      </c>
      <c r="V75" s="99">
        <f t="shared" si="16"/>
        <v>197.63276712328769</v>
      </c>
      <c r="W75" s="32">
        <f t="shared" si="17"/>
        <v>201.58542246575345</v>
      </c>
      <c r="X75" s="32">
        <f t="shared" si="18"/>
        <v>205.53807780821921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9"/>
        <v>94</v>
      </c>
      <c r="AM75" s="117">
        <f>AJ75*AL75</f>
        <v>21808000</v>
      </c>
      <c r="AN75" s="20" t="s">
        <v>4261</v>
      </c>
    </row>
    <row r="76" spans="1:40">
      <c r="D76" s="3"/>
      <c r="E76" s="11" t="s">
        <v>304</v>
      </c>
      <c r="M76" t="s">
        <v>4268</v>
      </c>
      <c r="P76" s="115"/>
      <c r="Q76" s="170">
        <v>3975257</v>
      </c>
      <c r="R76" s="169" t="s">
        <v>4643</v>
      </c>
      <c r="S76" s="169">
        <f>S75</f>
        <v>3</v>
      </c>
      <c r="T76" s="169" t="s">
        <v>4646</v>
      </c>
      <c r="U76" s="169">
        <v>173</v>
      </c>
      <c r="V76" s="99">
        <f t="shared" si="16"/>
        <v>175.33573698630138</v>
      </c>
      <c r="W76" s="32">
        <f t="shared" si="17"/>
        <v>178.84245172602741</v>
      </c>
      <c r="X76" s="32">
        <f t="shared" si="18"/>
        <v>182.34916646575346</v>
      </c>
      <c r="Y76">
        <v>23000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9"/>
        <v>92</v>
      </c>
      <c r="AM76" s="117">
        <f t="shared" si="10"/>
        <v>-15640000</v>
      </c>
      <c r="AN76" s="20"/>
    </row>
    <row r="77" spans="1:40">
      <c r="D77" s="1" t="s">
        <v>305</v>
      </c>
      <c r="E77" s="1">
        <v>70000</v>
      </c>
      <c r="M77" t="s">
        <v>4612</v>
      </c>
      <c r="N77" t="s">
        <v>25</v>
      </c>
      <c r="P77" s="115"/>
      <c r="Q77" s="170">
        <v>1031662</v>
      </c>
      <c r="R77" s="169" t="s">
        <v>4235</v>
      </c>
      <c r="S77" s="169">
        <f>S76-1</f>
        <v>2</v>
      </c>
      <c r="T77" s="169" t="s">
        <v>4650</v>
      </c>
      <c r="U77" s="169">
        <v>171.2</v>
      </c>
      <c r="V77" s="99">
        <f t="shared" si="16"/>
        <v>173.38010301369863</v>
      </c>
      <c r="W77" s="32">
        <f t="shared" si="17"/>
        <v>176.84770507397261</v>
      </c>
      <c r="X77" s="32">
        <f t="shared" si="18"/>
        <v>180.31530713424658</v>
      </c>
      <c r="Y77">
        <v>6000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9"/>
        <v>89</v>
      </c>
      <c r="AM77" s="117">
        <f t="shared" si="10"/>
        <v>-26700000</v>
      </c>
      <c r="AN77" s="20"/>
    </row>
    <row r="78" spans="1:40">
      <c r="D78" s="1" t="s">
        <v>321</v>
      </c>
      <c r="E78" s="1">
        <v>100000</v>
      </c>
      <c r="P78" s="115"/>
      <c r="Q78" s="170">
        <v>2666019</v>
      </c>
      <c r="R78" s="169" t="s">
        <v>4235</v>
      </c>
      <c r="S78" s="169">
        <f>S77</f>
        <v>2</v>
      </c>
      <c r="T78" s="169" t="s">
        <v>4652</v>
      </c>
      <c r="U78" s="169">
        <v>749</v>
      </c>
      <c r="V78" s="99">
        <f t="shared" si="16"/>
        <v>758.53795068493162</v>
      </c>
      <c r="W78" s="32">
        <f t="shared" si="17"/>
        <v>773.70870969863029</v>
      </c>
      <c r="X78" s="32">
        <f t="shared" si="18"/>
        <v>788.87946871232896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86</v>
      </c>
      <c r="AM78" s="117">
        <f t="shared" si="10"/>
        <v>-980400000</v>
      </c>
      <c r="AN78" s="20"/>
    </row>
    <row r="79" spans="1:40">
      <c r="D79" s="1" t="s">
        <v>306</v>
      </c>
      <c r="E79" s="1">
        <v>80000</v>
      </c>
      <c r="M79" t="s">
        <v>949</v>
      </c>
      <c r="N79">
        <v>6.3E-3</v>
      </c>
      <c r="P79" s="115"/>
      <c r="Q79" s="170">
        <v>577500</v>
      </c>
      <c r="R79" s="169" t="s">
        <v>4235</v>
      </c>
      <c r="S79" s="169">
        <f>S78</f>
        <v>2</v>
      </c>
      <c r="T79" s="169" t="s">
        <v>4655</v>
      </c>
      <c r="U79" s="169">
        <v>175</v>
      </c>
      <c r="V79" s="99">
        <f t="shared" si="16"/>
        <v>177.22849315068495</v>
      </c>
      <c r="W79" s="32">
        <f t="shared" si="17"/>
        <v>180.77306301369865</v>
      </c>
      <c r="X79" s="32">
        <f t="shared" si="18"/>
        <v>184.31763287671237</v>
      </c>
      <c r="Y79">
        <v>3300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73</v>
      </c>
      <c r="AM79" s="117">
        <f>AJ79*AL79</f>
        <v>-730000000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61</v>
      </c>
      <c r="N80">
        <v>4.8999999999999998E-3</v>
      </c>
      <c r="P80" s="115"/>
      <c r="Q80" s="170">
        <v>12636487</v>
      </c>
      <c r="R80" s="169" t="s">
        <v>3692</v>
      </c>
      <c r="S80" s="169">
        <f>S79-2</f>
        <v>0</v>
      </c>
      <c r="T80" s="169" t="s">
        <v>4658</v>
      </c>
      <c r="U80" s="169">
        <v>172.1</v>
      </c>
      <c r="V80" s="99">
        <f t="shared" si="16"/>
        <v>174.02752000000001</v>
      </c>
      <c r="W80" s="32">
        <f t="shared" si="17"/>
        <v>177.50807040000001</v>
      </c>
      <c r="X80" s="32">
        <f t="shared" si="18"/>
        <v>180.98862080000001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72</v>
      </c>
      <c r="AM80" s="117">
        <f>AJ80*AL80</f>
        <v>-176400000</v>
      </c>
      <c r="AN80" s="2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O81" t="s">
        <v>25</v>
      </c>
      <c r="P81" t="s">
        <v>25</v>
      </c>
      <c r="Q81" s="170"/>
      <c r="R81" s="169"/>
      <c r="S81" s="169"/>
      <c r="T81" s="169"/>
      <c r="U81" s="169"/>
      <c r="V81" s="99"/>
      <c r="W81" s="32"/>
      <c r="X81" s="32"/>
      <c r="Y81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9"/>
        <v>67</v>
      </c>
      <c r="AM81" s="117">
        <f t="shared" si="10"/>
        <v>-30557427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Q82" s="113">
        <f>SUM(N41:N50)-SUM(Q56:Q81)</f>
        <v>-22672357.800000012</v>
      </c>
      <c r="R82" s="112"/>
      <c r="S82" s="112"/>
      <c r="T82" s="112"/>
      <c r="U82" s="169"/>
      <c r="V82" s="99" t="s">
        <v>25</v>
      </c>
      <c r="W82" s="32"/>
      <c r="X82" s="32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66</v>
      </c>
      <c r="AM82" s="117">
        <f t="shared" si="10"/>
        <v>-33000000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Q83" s="26"/>
      <c r="R83" s="183"/>
      <c r="S83" s="183"/>
      <c r="T83" t="s">
        <v>25</v>
      </c>
      <c r="U83" s="96" t="s">
        <v>25</v>
      </c>
      <c r="V83" s="96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9"/>
        <v>64</v>
      </c>
      <c r="AM83" s="117">
        <f t="shared" si="10"/>
        <v>-398999680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R84" s="32" t="s">
        <v>4596</v>
      </c>
      <c r="S84" s="32" t="s">
        <v>950</v>
      </c>
      <c r="T84" t="s">
        <v>25</v>
      </c>
      <c r="U84" s="96" t="s">
        <v>25</v>
      </c>
      <c r="V84" s="96" t="s">
        <v>25</v>
      </c>
      <c r="W84" s="96" t="s">
        <v>25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9"/>
        <v>61</v>
      </c>
      <c r="AM84" s="117">
        <f t="shared" si="10"/>
        <v>119008377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M85" s="197" t="s">
        <v>4550</v>
      </c>
      <c r="R85" s="32">
        <v>20</v>
      </c>
      <c r="S85" s="170">
        <v>7991977</v>
      </c>
      <c r="U85" s="96" t="s">
        <v>25</v>
      </c>
      <c r="V85" s="122" t="s">
        <v>25</v>
      </c>
      <c r="X85" t="s">
        <v>25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9"/>
        <v>57</v>
      </c>
      <c r="AM85" s="117">
        <f t="shared" si="10"/>
        <v>34200000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4551</v>
      </c>
      <c r="Q86" t="s">
        <v>25</v>
      </c>
      <c r="R86" s="32">
        <v>10</v>
      </c>
      <c r="S86" s="1">
        <f>S85*R86/R85</f>
        <v>3995988.5</v>
      </c>
      <c r="U86" s="96" t="s">
        <v>25</v>
      </c>
      <c r="W86" s="96" t="s">
        <v>25</v>
      </c>
      <c r="X86" t="s">
        <v>25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9"/>
        <v>52</v>
      </c>
      <c r="AM86" s="117">
        <f t="shared" si="10"/>
        <v>390000000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4552</v>
      </c>
      <c r="R87" s="32">
        <f>R85-R86</f>
        <v>10</v>
      </c>
      <c r="S87" s="1">
        <f>R87*S85/R85</f>
        <v>3995988.5</v>
      </c>
      <c r="V87" s="96"/>
      <c r="W87"/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9"/>
        <v>50</v>
      </c>
      <c r="AM87" s="117">
        <f t="shared" si="10"/>
        <v>-29390800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4397</v>
      </c>
      <c r="V88" s="96"/>
      <c r="W88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47</v>
      </c>
      <c r="AM88" s="117">
        <f t="shared" si="10"/>
        <v>-42651983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4416</v>
      </c>
      <c r="Q89" s="99" t="s">
        <v>4470</v>
      </c>
      <c r="R89" s="99" t="s">
        <v>4472</v>
      </c>
      <c r="S89" s="99"/>
      <c r="T89" s="99" t="s">
        <v>4473</v>
      </c>
      <c r="U89" s="99"/>
      <c r="V89" s="99"/>
      <c r="W89" s="99" t="s">
        <v>4605</v>
      </c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9"/>
        <v>47</v>
      </c>
      <c r="AM89" s="117">
        <f t="shared" si="10"/>
        <v>115150000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4553</v>
      </c>
      <c r="Q90" s="113">
        <v>1000</v>
      </c>
      <c r="R90" s="99">
        <v>0.25</v>
      </c>
      <c r="S90" s="99"/>
      <c r="T90" s="99">
        <f>1-R90</f>
        <v>0.75</v>
      </c>
      <c r="U90" s="99"/>
      <c r="V90" s="99"/>
      <c r="W90" s="99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19"/>
        <v>46</v>
      </c>
      <c r="AM90" s="117">
        <f t="shared" si="10"/>
        <v>69000000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4401</v>
      </c>
      <c r="Q91" s="169" t="s">
        <v>4457</v>
      </c>
      <c r="R91" s="169" t="s">
        <v>4475</v>
      </c>
      <c r="S91" s="169" t="s">
        <v>4477</v>
      </c>
      <c r="T91" s="169" t="s">
        <v>180</v>
      </c>
      <c r="U91" s="169" t="s">
        <v>4471</v>
      </c>
      <c r="V91" s="56" t="s">
        <v>4474</v>
      </c>
      <c r="W91" s="99"/>
      <c r="X91" s="115"/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19"/>
        <v>45</v>
      </c>
      <c r="AM91" s="117">
        <f t="shared" si="10"/>
        <v>119160000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4554</v>
      </c>
      <c r="Q92" s="169" t="s">
        <v>751</v>
      </c>
      <c r="R92" s="56">
        <v>743223</v>
      </c>
      <c r="S92" s="113">
        <f>R92*$T$121</f>
        <v>183192526.60646355</v>
      </c>
      <c r="T92" s="169" t="s">
        <v>4469</v>
      </c>
      <c r="U92" s="169">
        <f>$Q$90*$T$90*S92/$R$115</f>
        <v>499.63854860120773</v>
      </c>
      <c r="V92" s="95">
        <f>S92+U92</f>
        <v>183193026.24501216</v>
      </c>
      <c r="W92" s="99">
        <f>R92*100/U118</f>
        <v>66.618473146827696</v>
      </c>
      <c r="X92" s="163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9"/>
        <v>44</v>
      </c>
      <c r="AM92" s="117">
        <f t="shared" si="10"/>
        <v>27060000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4555</v>
      </c>
      <c r="P93" s="115"/>
      <c r="Q93" s="169" t="s">
        <v>4459</v>
      </c>
      <c r="R93" s="56">
        <v>327026</v>
      </c>
      <c r="S93" s="113">
        <f>R93*$T$121</f>
        <v>80606654.000219777</v>
      </c>
      <c r="T93" s="169" t="s">
        <v>4469</v>
      </c>
      <c r="U93" s="169">
        <f>$Q$90*$T$90*S93/$R$115+Q90*R90</f>
        <v>469.846258787549</v>
      </c>
      <c r="V93" s="95">
        <f>S93+U93</f>
        <v>80607123.846478567</v>
      </c>
      <c r="W93" s="99">
        <f>R93*100/U118</f>
        <v>29.312834505006538</v>
      </c>
      <c r="X93" s="115"/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40</v>
      </c>
      <c r="AM93" s="117">
        <f t="shared" si="10"/>
        <v>560000000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P94" s="128"/>
      <c r="Q94" s="169" t="s">
        <v>4458</v>
      </c>
      <c r="R94" s="56">
        <v>45392</v>
      </c>
      <c r="S94" s="113">
        <f>R94*$T$121</f>
        <v>11188398.593316667</v>
      </c>
      <c r="T94" s="169" t="s">
        <v>4469</v>
      </c>
      <c r="U94" s="169">
        <f>$Q$90*$T$90*S94/$R$115</f>
        <v>30.515192611243222</v>
      </c>
      <c r="V94" s="95">
        <f>S94+U94</f>
        <v>11188429.108509278</v>
      </c>
      <c r="W94" s="99">
        <f>R94*100/U118</f>
        <v>4.0686923481657633</v>
      </c>
      <c r="X94" s="115"/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38</v>
      </c>
      <c r="AM94" s="117">
        <f t="shared" si="10"/>
        <v>49894000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28"/>
      <c r="Q95" s="169"/>
      <c r="R95" s="56"/>
      <c r="S95" s="169"/>
      <c r="T95" s="169"/>
      <c r="U95" s="169"/>
      <c r="V95" s="99"/>
      <c r="W95" s="99"/>
      <c r="X95" s="115"/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3" si="20">AL96+AK95</f>
        <v>38</v>
      </c>
      <c r="AM95" s="117">
        <f t="shared" si="10"/>
        <v>86222000</v>
      </c>
      <c r="AN95" s="99"/>
    </row>
    <row r="96" spans="4:52">
      <c r="D96" s="32" t="s">
        <v>314</v>
      </c>
      <c r="E96" s="1">
        <v>140000</v>
      </c>
      <c r="P96" s="115"/>
      <c r="Q96" s="169"/>
      <c r="R96" s="56"/>
      <c r="S96" s="169"/>
      <c r="T96" s="169"/>
      <c r="U96" s="169"/>
      <c r="V96" s="169"/>
      <c r="W96" s="99"/>
      <c r="X96" s="96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0"/>
        <v>37</v>
      </c>
      <c r="AM96" s="117">
        <f t="shared" si="10"/>
        <v>27750000</v>
      </c>
      <c r="AN96" s="99"/>
    </row>
    <row r="97" spans="4:47">
      <c r="D97" s="2" t="s">
        <v>478</v>
      </c>
      <c r="E97" s="3">
        <v>1083333</v>
      </c>
      <c r="Q97" s="169"/>
      <c r="R97" s="169"/>
      <c r="S97" s="169"/>
      <c r="T97" s="169"/>
      <c r="U97" s="169"/>
      <c r="V97" s="169"/>
      <c r="W97" s="99"/>
      <c r="X97" s="96"/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20"/>
        <v>33</v>
      </c>
      <c r="AM97" s="117">
        <f t="shared" si="10"/>
        <v>62700000</v>
      </c>
      <c r="AN97" s="99"/>
    </row>
    <row r="98" spans="4:47">
      <c r="D98" s="2"/>
      <c r="E98" s="3"/>
      <c r="H98" s="96"/>
      <c r="Q98" s="99"/>
      <c r="R98" s="99"/>
      <c r="S98" s="99"/>
      <c r="T98" s="99" t="s">
        <v>25</v>
      </c>
      <c r="U98" s="99"/>
      <c r="V98" s="99"/>
      <c r="W98" s="99"/>
      <c r="X98" s="96"/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20"/>
        <v>30</v>
      </c>
      <c r="AM98" s="117">
        <f t="shared" si="10"/>
        <v>192000000</v>
      </c>
      <c r="AN98" s="99"/>
    </row>
    <row r="99" spans="4:47">
      <c r="D99" s="2"/>
      <c r="E99" s="3"/>
      <c r="Q99" s="99"/>
      <c r="R99" s="99"/>
      <c r="S99" s="99"/>
      <c r="T99" s="99"/>
      <c r="U99" s="99"/>
      <c r="V99" s="99"/>
      <c r="W99" s="99"/>
      <c r="X99" s="96"/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20"/>
        <v>29</v>
      </c>
      <c r="AM99" s="117">
        <f t="shared" si="10"/>
        <v>145000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169" t="s">
        <v>4556</v>
      </c>
      <c r="L100" s="169" t="s">
        <v>4557</v>
      </c>
      <c r="M100" s="169" t="s">
        <v>4443</v>
      </c>
      <c r="N100" s="56" t="s">
        <v>190</v>
      </c>
      <c r="Q100" s="99"/>
      <c r="R100" s="99"/>
      <c r="S100" s="99"/>
      <c r="T100" s="99"/>
      <c r="U100" s="99"/>
      <c r="V100" s="99"/>
      <c r="W100" s="99"/>
      <c r="X100" s="96"/>
      <c r="Y100" t="s">
        <v>25</v>
      </c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20"/>
        <v>24</v>
      </c>
      <c r="AM100" s="117">
        <f t="shared" si="10"/>
        <v>-42003552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4244</v>
      </c>
      <c r="L101" s="170">
        <v>1100000</v>
      </c>
      <c r="M101" s="170">
        <v>1637000</v>
      </c>
      <c r="N101" s="169">
        <f t="shared" ref="N101:N109" si="21">(M101-L101)*100/L101</f>
        <v>48.81818181818182</v>
      </c>
      <c r="Q101" s="96"/>
      <c r="R101" s="96"/>
      <c r="S101" s="96"/>
      <c r="T101" s="96"/>
      <c r="V101" s="96"/>
      <c r="X101" s="115"/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20"/>
        <v>23</v>
      </c>
      <c r="AM101" s="117">
        <f t="shared" si="10"/>
        <v>9200000</v>
      </c>
      <c r="AN101" s="99"/>
    </row>
    <row r="102" spans="4:47">
      <c r="K102" s="5" t="s">
        <v>4551</v>
      </c>
      <c r="L102" s="170">
        <v>1100000</v>
      </c>
      <c r="M102" s="170">
        <v>4748000</v>
      </c>
      <c r="N102" s="169">
        <f t="shared" si="21"/>
        <v>331.63636363636363</v>
      </c>
      <c r="Q102" s="96"/>
      <c r="R102" s="96"/>
      <c r="S102" s="96"/>
      <c r="T102" s="96"/>
      <c r="V102" s="96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20"/>
        <v>23</v>
      </c>
      <c r="AM102" s="117">
        <f t="shared" si="10"/>
        <v>-48424683</v>
      </c>
      <c r="AN102" s="99"/>
      <c r="AO102" t="s">
        <v>25</v>
      </c>
    </row>
    <row r="103" spans="4:47">
      <c r="K103" s="5" t="s">
        <v>4552</v>
      </c>
      <c r="L103" s="170">
        <v>1100000</v>
      </c>
      <c r="M103" s="170">
        <v>5137000</v>
      </c>
      <c r="N103" s="169">
        <f t="shared" si="21"/>
        <v>367</v>
      </c>
      <c r="Q103" s="96"/>
      <c r="R103" s="96"/>
      <c r="S103" s="96"/>
      <c r="T103" s="96" t="s">
        <v>25</v>
      </c>
      <c r="V103" s="96"/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20"/>
        <v>22</v>
      </c>
      <c r="AM103" s="117">
        <f t="shared" si="10"/>
        <v>-121607596</v>
      </c>
      <c r="AN103" s="99"/>
    </row>
    <row r="104" spans="4:47">
      <c r="K104" s="19" t="s">
        <v>4397</v>
      </c>
      <c r="L104" s="170">
        <v>1100000</v>
      </c>
      <c r="M104" s="170">
        <v>4300000</v>
      </c>
      <c r="N104" s="169">
        <f t="shared" si="21"/>
        <v>290.90909090909093</v>
      </c>
      <c r="Q104" s="96"/>
      <c r="R104" s="96"/>
      <c r="S104" s="96"/>
      <c r="T104" s="96"/>
      <c r="V104" s="96"/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20"/>
        <v>22</v>
      </c>
      <c r="AM104" s="117">
        <f t="shared" si="10"/>
        <v>85800000</v>
      </c>
      <c r="AN104" s="99"/>
    </row>
    <row r="105" spans="4:47">
      <c r="K105" s="5" t="s">
        <v>4416</v>
      </c>
      <c r="L105" s="170">
        <v>1100000</v>
      </c>
      <c r="M105" s="170">
        <v>3191000</v>
      </c>
      <c r="N105" s="169">
        <f t="shared" si="21"/>
        <v>190.09090909090909</v>
      </c>
      <c r="Q105" s="96"/>
      <c r="R105" s="96"/>
      <c r="S105" s="96"/>
      <c r="T105" s="99" t="s">
        <v>180</v>
      </c>
      <c r="U105" s="99" t="s">
        <v>4493</v>
      </c>
      <c r="V105" s="99" t="s">
        <v>4494</v>
      </c>
      <c r="W105" s="99" t="s">
        <v>4504</v>
      </c>
      <c r="X105" s="99" t="s">
        <v>8</v>
      </c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20"/>
        <v>19</v>
      </c>
      <c r="AM105" s="117">
        <f t="shared" si="10"/>
        <v>-75425326</v>
      </c>
      <c r="AN105" s="99"/>
    </row>
    <row r="106" spans="4:47">
      <c r="K106" s="5" t="s">
        <v>4553</v>
      </c>
      <c r="L106" s="170">
        <v>1100000</v>
      </c>
      <c r="M106" s="170">
        <v>5623000</v>
      </c>
      <c r="N106" s="169">
        <f t="shared" si="21"/>
        <v>411.18181818181819</v>
      </c>
      <c r="Q106" s="36" t="s">
        <v>4595</v>
      </c>
      <c r="R106" s="95">
        <f>SUM(N41:N50)</f>
        <v>225622011.19999999</v>
      </c>
      <c r="T106" s="113" t="s">
        <v>4469</v>
      </c>
      <c r="U106" s="56">
        <v>1000000</v>
      </c>
      <c r="V106" s="113">
        <v>239.024</v>
      </c>
      <c r="W106" s="113">
        <f t="shared" ref="W106:W117" si="22">U106*V106</f>
        <v>239024000</v>
      </c>
      <c r="X106" s="99"/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20"/>
        <v>18</v>
      </c>
      <c r="AM106" s="117">
        <f t="shared" si="10"/>
        <v>-460340190</v>
      </c>
      <c r="AN106" s="99"/>
      <c r="AP106" t="s">
        <v>25</v>
      </c>
    </row>
    <row r="107" spans="4:47">
      <c r="K107" s="19" t="s">
        <v>4401</v>
      </c>
      <c r="L107" s="170">
        <v>1100000</v>
      </c>
      <c r="M107" s="170">
        <v>7728000</v>
      </c>
      <c r="N107" s="169">
        <f t="shared" si="21"/>
        <v>602.5454545454545</v>
      </c>
      <c r="Q107" s="99" t="s">
        <v>4460</v>
      </c>
      <c r="R107" s="95">
        <f>SUM(N21:N24)</f>
        <v>25468422.199999999</v>
      </c>
      <c r="T107" s="169" t="s">
        <v>4451</v>
      </c>
      <c r="U107" s="56">
        <v>5904</v>
      </c>
      <c r="V107" s="113">
        <v>237.148</v>
      </c>
      <c r="W107" s="113">
        <f t="shared" si="22"/>
        <v>1400121.7919999999</v>
      </c>
      <c r="X107" s="99" t="s">
        <v>751</v>
      </c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20"/>
        <v>18</v>
      </c>
      <c r="AM107" s="117">
        <f t="shared" si="10"/>
        <v>72000000</v>
      </c>
      <c r="AN107" s="99"/>
    </row>
    <row r="108" spans="4:47">
      <c r="K108" s="5" t="s">
        <v>4555</v>
      </c>
      <c r="L108" s="170">
        <v>1100000</v>
      </c>
      <c r="M108" s="170">
        <v>2904000</v>
      </c>
      <c r="N108" s="169">
        <f t="shared" si="21"/>
        <v>164</v>
      </c>
      <c r="Q108" s="99" t="s">
        <v>4461</v>
      </c>
      <c r="R108" s="95">
        <f>SUM(N27:N28)</f>
        <v>3068273.8</v>
      </c>
      <c r="T108" s="169" t="s">
        <v>4233</v>
      </c>
      <c r="U108" s="169">
        <v>1000</v>
      </c>
      <c r="V108" s="113">
        <v>247.393</v>
      </c>
      <c r="W108" s="113">
        <f t="shared" si="22"/>
        <v>247393</v>
      </c>
      <c r="X108" s="99" t="s">
        <v>751</v>
      </c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0"/>
        <v>17</v>
      </c>
      <c r="AM108" s="117">
        <f t="shared" si="10"/>
        <v>-85000000</v>
      </c>
      <c r="AN108" s="99"/>
    </row>
    <row r="109" spans="4:47">
      <c r="K109" s="56" t="s">
        <v>1086</v>
      </c>
      <c r="L109" s="170">
        <v>1100000</v>
      </c>
      <c r="M109" s="170">
        <v>3400000</v>
      </c>
      <c r="N109" s="169">
        <f t="shared" si="21"/>
        <v>209.09090909090909</v>
      </c>
      <c r="Q109" s="99" t="s">
        <v>4462</v>
      </c>
      <c r="R109" s="95">
        <f>N39</f>
        <v>8332139</v>
      </c>
      <c r="T109" s="169" t="s">
        <v>4506</v>
      </c>
      <c r="U109" s="169">
        <v>8071</v>
      </c>
      <c r="V109" s="113">
        <v>247.797</v>
      </c>
      <c r="W109" s="113">
        <f t="shared" si="22"/>
        <v>1999969.5870000001</v>
      </c>
      <c r="X109" s="99" t="s">
        <v>4458</v>
      </c>
      <c r="AD109" s="96"/>
      <c r="AE109"/>
      <c r="AF109"/>
      <c r="AH109" s="99">
        <v>89</v>
      </c>
      <c r="AI109" s="113" t="s">
        <v>4609</v>
      </c>
      <c r="AJ109" s="113">
        <v>10000000</v>
      </c>
      <c r="AK109" s="99">
        <v>4</v>
      </c>
      <c r="AL109" s="99">
        <f t="shared" si="20"/>
        <v>15</v>
      </c>
      <c r="AM109" s="117">
        <f t="shared" si="10"/>
        <v>150000000</v>
      </c>
      <c r="AN109" s="99"/>
    </row>
    <row r="110" spans="4:47">
      <c r="K110" s="210" t="s">
        <v>4592</v>
      </c>
      <c r="Q110" s="99" t="s">
        <v>4463</v>
      </c>
      <c r="R110" s="95">
        <f>N20</f>
        <v>6</v>
      </c>
      <c r="T110" s="169" t="s">
        <v>4506</v>
      </c>
      <c r="U110" s="169">
        <v>53672</v>
      </c>
      <c r="V110" s="113">
        <v>247.797</v>
      </c>
      <c r="W110" s="113">
        <f t="shared" si="22"/>
        <v>13299760.584000001</v>
      </c>
      <c r="X110" s="99" t="s">
        <v>452</v>
      </c>
      <c r="AH110" s="99">
        <v>90</v>
      </c>
      <c r="AI110" s="113" t="s">
        <v>4611</v>
      </c>
      <c r="AJ110" s="113">
        <v>-5241937</v>
      </c>
      <c r="AK110" s="99">
        <v>0</v>
      </c>
      <c r="AL110" s="99">
        <f t="shared" si="20"/>
        <v>11</v>
      </c>
      <c r="AM110" s="117">
        <f t="shared" si="10"/>
        <v>-57661307</v>
      </c>
      <c r="AN110" s="99"/>
    </row>
    <row r="111" spans="4:47">
      <c r="K111" s="210" t="s">
        <v>4593</v>
      </c>
      <c r="P111" s="114"/>
      <c r="Q111" s="99" t="s">
        <v>4464</v>
      </c>
      <c r="R111" s="95">
        <f>N26</f>
        <v>6</v>
      </c>
      <c r="T111" s="169" t="s">
        <v>4516</v>
      </c>
      <c r="U111" s="169">
        <v>4099</v>
      </c>
      <c r="V111" s="113">
        <v>243.93</v>
      </c>
      <c r="W111" s="113">
        <f t="shared" si="22"/>
        <v>999869.07000000007</v>
      </c>
      <c r="X111" s="99" t="s">
        <v>4458</v>
      </c>
      <c r="AH111" s="99">
        <v>91</v>
      </c>
      <c r="AI111" s="113" t="s">
        <v>4611</v>
      </c>
      <c r="AJ111" s="113">
        <v>21900000</v>
      </c>
      <c r="AK111" s="99">
        <v>2</v>
      </c>
      <c r="AL111" s="99">
        <f t="shared" si="20"/>
        <v>11</v>
      </c>
      <c r="AM111" s="117">
        <f t="shared" si="10"/>
        <v>240900000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4594</v>
      </c>
      <c r="Q112" s="99" t="s">
        <v>4476</v>
      </c>
      <c r="R112" s="95">
        <v>8403068</v>
      </c>
      <c r="T112" s="169" t="s">
        <v>4516</v>
      </c>
      <c r="U112" s="169">
        <v>9301</v>
      </c>
      <c r="V112" s="113">
        <v>243.93</v>
      </c>
      <c r="W112" s="113">
        <f t="shared" si="22"/>
        <v>2268792.9300000002</v>
      </c>
      <c r="X112" s="99" t="s">
        <v>452</v>
      </c>
      <c r="AH112" s="99">
        <v>92</v>
      </c>
      <c r="AI112" s="113" t="s">
        <v>4622</v>
      </c>
      <c r="AJ112" s="113">
        <v>-15000000</v>
      </c>
      <c r="AK112" s="99">
        <v>0</v>
      </c>
      <c r="AL112" s="99">
        <f t="shared" si="20"/>
        <v>9</v>
      </c>
      <c r="AM112" s="117">
        <f t="shared" si="10"/>
        <v>-135000000</v>
      </c>
      <c r="AN112" s="99"/>
      <c r="AO112" t="s">
        <v>25</v>
      </c>
    </row>
    <row r="113" spans="11:43">
      <c r="Q113" s="99" t="s">
        <v>4583</v>
      </c>
      <c r="R113" s="95">
        <v>4054953</v>
      </c>
      <c r="T113" s="169" t="s">
        <v>4524</v>
      </c>
      <c r="U113" s="169">
        <v>8334</v>
      </c>
      <c r="V113" s="113">
        <v>239.97</v>
      </c>
      <c r="W113" s="113">
        <f t="shared" si="22"/>
        <v>1999909.98</v>
      </c>
      <c r="X113" s="99" t="s">
        <v>4458</v>
      </c>
      <c r="AH113" s="99">
        <v>93</v>
      </c>
      <c r="AI113" s="113" t="s">
        <v>4622</v>
      </c>
      <c r="AJ113" s="113">
        <v>3000000</v>
      </c>
      <c r="AK113" s="99">
        <v>1</v>
      </c>
      <c r="AL113" s="99">
        <f t="shared" si="20"/>
        <v>9</v>
      </c>
      <c r="AM113" s="117">
        <f t="shared" si="10"/>
        <v>27000000</v>
      </c>
      <c r="AN113" s="99"/>
    </row>
    <row r="114" spans="11:43">
      <c r="Q114" s="99" t="s">
        <v>4618</v>
      </c>
      <c r="R114" s="95">
        <v>38700</v>
      </c>
      <c r="T114" s="169" t="s">
        <v>4232</v>
      </c>
      <c r="U114" s="169">
        <v>29041</v>
      </c>
      <c r="V114" s="113">
        <v>233.45</v>
      </c>
      <c r="W114" s="113">
        <f t="shared" si="22"/>
        <v>6779621.4499999993</v>
      </c>
      <c r="X114" s="99" t="s">
        <v>751</v>
      </c>
      <c r="AH114" s="99">
        <v>94</v>
      </c>
      <c r="AI114" s="113" t="s">
        <v>4626</v>
      </c>
      <c r="AJ114" s="113">
        <v>-2103736</v>
      </c>
      <c r="AK114" s="99">
        <v>0</v>
      </c>
      <c r="AL114" s="99">
        <f t="shared" si="20"/>
        <v>8</v>
      </c>
      <c r="AM114" s="117">
        <f t="shared" si="10"/>
        <v>-16829888</v>
      </c>
      <c r="AN114" s="99"/>
    </row>
    <row r="115" spans="11:43">
      <c r="P115" s="114"/>
      <c r="Q115" s="99" t="s">
        <v>4468</v>
      </c>
      <c r="R115" s="95">
        <f>SUM(R106:R114)</f>
        <v>274987579.19999999</v>
      </c>
      <c r="S115" s="115"/>
      <c r="T115" s="169" t="s">
        <v>994</v>
      </c>
      <c r="U115" s="169">
        <v>12337</v>
      </c>
      <c r="V115" s="113">
        <v>243.16300000000001</v>
      </c>
      <c r="W115" s="113">
        <f t="shared" si="22"/>
        <v>2999901.9310000003</v>
      </c>
      <c r="X115" s="99" t="s">
        <v>4458</v>
      </c>
      <c r="AH115" s="99">
        <v>95</v>
      </c>
      <c r="AI115" s="113" t="s">
        <v>4626</v>
      </c>
      <c r="AJ115" s="113">
        <v>220000</v>
      </c>
      <c r="AK115" s="99">
        <v>3</v>
      </c>
      <c r="AL115" s="99">
        <f t="shared" si="20"/>
        <v>8</v>
      </c>
      <c r="AM115" s="117">
        <f t="shared" si="10"/>
        <v>1760000</v>
      </c>
      <c r="AN115" s="99"/>
      <c r="AQ115" t="s">
        <v>25</v>
      </c>
    </row>
    <row r="116" spans="11:43">
      <c r="K116" t="s">
        <v>4297</v>
      </c>
      <c r="Q116" s="96"/>
      <c r="S116" s="122"/>
      <c r="T116" s="169" t="s">
        <v>4626</v>
      </c>
      <c r="U116" s="169">
        <v>-16118</v>
      </c>
      <c r="V116" s="113">
        <v>248.17</v>
      </c>
      <c r="W116" s="113">
        <f t="shared" si="22"/>
        <v>-4000004.0599999996</v>
      </c>
      <c r="X116" s="99" t="s">
        <v>751</v>
      </c>
      <c r="AH116" s="99">
        <v>96</v>
      </c>
      <c r="AI116" s="113" t="s">
        <v>4636</v>
      </c>
      <c r="AJ116" s="113">
        <v>4000000</v>
      </c>
      <c r="AK116" s="99">
        <v>1</v>
      </c>
      <c r="AL116" s="99">
        <f t="shared" si="20"/>
        <v>5</v>
      </c>
      <c r="AM116" s="117">
        <f t="shared" si="10"/>
        <v>20000000</v>
      </c>
      <c r="AN116" s="99"/>
    </row>
    <row r="117" spans="11:43">
      <c r="K117" t="s">
        <v>4661</v>
      </c>
      <c r="Q117" s="96"/>
      <c r="R117" s="184"/>
      <c r="S117" s="115"/>
      <c r="T117" s="169"/>
      <c r="U117" s="169"/>
      <c r="V117" s="113"/>
      <c r="W117" s="113">
        <f t="shared" si="22"/>
        <v>0</v>
      </c>
      <c r="X117" s="99"/>
      <c r="AH117" s="99">
        <v>97</v>
      </c>
      <c r="AI117" s="113" t="s">
        <v>4643</v>
      </c>
      <c r="AJ117" s="113">
        <v>-9000000</v>
      </c>
      <c r="AK117" s="99">
        <v>0</v>
      </c>
      <c r="AL117" s="99">
        <f t="shared" si="20"/>
        <v>4</v>
      </c>
      <c r="AM117" s="117">
        <f t="shared" si="10"/>
        <v>-36000000</v>
      </c>
      <c r="AN117" s="99"/>
      <c r="AP117" t="s">
        <v>25</v>
      </c>
    </row>
    <row r="118" spans="11:43">
      <c r="K118" t="s">
        <v>4662</v>
      </c>
      <c r="Q118" s="96"/>
      <c r="R118" s="184"/>
      <c r="S118" s="115"/>
      <c r="T118" s="169"/>
      <c r="U118" s="169">
        <f>SUM(U106:U117)</f>
        <v>1115641</v>
      </c>
      <c r="V118" s="99"/>
      <c r="W118" s="99"/>
      <c r="X118" s="99"/>
      <c r="AH118" s="99">
        <v>98</v>
      </c>
      <c r="AI118" s="113" t="s">
        <v>4643</v>
      </c>
      <c r="AJ118" s="113">
        <v>13900000</v>
      </c>
      <c r="AK118" s="99">
        <v>2</v>
      </c>
      <c r="AL118" s="99">
        <f t="shared" si="20"/>
        <v>4</v>
      </c>
      <c r="AM118" s="117">
        <f t="shared" si="10"/>
        <v>55600000</v>
      </c>
      <c r="AN118" s="99"/>
    </row>
    <row r="119" spans="11:43">
      <c r="K119" t="s">
        <v>4663</v>
      </c>
      <c r="Q119" s="96"/>
      <c r="R119" s="115"/>
      <c r="T119" s="99"/>
      <c r="U119" s="99" t="s">
        <v>6</v>
      </c>
      <c r="V119" s="99"/>
      <c r="W119" s="99"/>
      <c r="X119" s="99"/>
      <c r="AH119" s="99">
        <v>99</v>
      </c>
      <c r="AI119" s="113" t="s">
        <v>4656</v>
      </c>
      <c r="AJ119" s="113">
        <v>-8127577</v>
      </c>
      <c r="AK119" s="99">
        <v>1</v>
      </c>
      <c r="AL119" s="99">
        <f t="shared" si="20"/>
        <v>2</v>
      </c>
      <c r="AM119" s="117">
        <f t="shared" si="10"/>
        <v>-16255154</v>
      </c>
      <c r="AN119" s="99"/>
    </row>
    <row r="120" spans="11:43">
      <c r="K120" t="s">
        <v>4552</v>
      </c>
      <c r="T120" s="204" t="s">
        <v>4495</v>
      </c>
      <c r="AH120" s="99">
        <v>100</v>
      </c>
      <c r="AI120" s="113" t="s">
        <v>3692</v>
      </c>
      <c r="AJ120" s="113">
        <v>15792549</v>
      </c>
      <c r="AK120" s="99">
        <v>1</v>
      </c>
      <c r="AL120" s="99">
        <f t="shared" si="20"/>
        <v>1</v>
      </c>
      <c r="AM120" s="117">
        <f t="shared" si="10"/>
        <v>15792549</v>
      </c>
      <c r="AN120" s="99"/>
      <c r="AO120" t="s">
        <v>25</v>
      </c>
      <c r="AP120" t="s">
        <v>25</v>
      </c>
    </row>
    <row r="121" spans="11:43">
      <c r="Q121" s="99" t="s">
        <v>4458</v>
      </c>
      <c r="R121" s="99"/>
      <c r="T121" s="203">
        <f>R115/U118</f>
        <v>246.48393094194279</v>
      </c>
      <c r="AH121" s="99"/>
      <c r="AI121" s="113"/>
      <c r="AJ121" s="113"/>
      <c r="AK121" s="99"/>
      <c r="AL121" s="99">
        <f t="shared" si="20"/>
        <v>0</v>
      </c>
      <c r="AM121" s="117">
        <f t="shared" si="10"/>
        <v>0</v>
      </c>
      <c r="AN121" s="99"/>
      <c r="AP121" t="s">
        <v>25</v>
      </c>
    </row>
    <row r="122" spans="11:43">
      <c r="Q122" s="36" t="s">
        <v>180</v>
      </c>
      <c r="R122" s="99" t="s">
        <v>267</v>
      </c>
      <c r="W122" s="114"/>
      <c r="AH122" s="99" t="s">
        <v>25</v>
      </c>
      <c r="AI122" s="113"/>
      <c r="AJ122" s="113"/>
      <c r="AK122" s="99"/>
      <c r="AL122" s="99">
        <f t="shared" si="20"/>
        <v>0</v>
      </c>
      <c r="AM122" s="117">
        <f t="shared" si="10"/>
        <v>0</v>
      </c>
      <c r="AN122" s="99"/>
      <c r="AQ122" t="s">
        <v>25</v>
      </c>
    </row>
    <row r="123" spans="11:43">
      <c r="Q123" s="99" t="s">
        <v>4451</v>
      </c>
      <c r="R123" s="95">
        <v>3000000</v>
      </c>
      <c r="U123" s="96" t="s">
        <v>267</v>
      </c>
      <c r="V123" t="s">
        <v>4496</v>
      </c>
      <c r="AH123" s="99"/>
      <c r="AI123" s="113"/>
      <c r="AJ123" s="113"/>
      <c r="AK123" s="99"/>
      <c r="AL123" s="99">
        <f t="shared" si="20"/>
        <v>0</v>
      </c>
      <c r="AM123" s="117">
        <f t="shared" si="10"/>
        <v>0</v>
      </c>
      <c r="AN123" s="99"/>
    </row>
    <row r="124" spans="11:43">
      <c r="Q124" s="99" t="s">
        <v>4506</v>
      </c>
      <c r="R124" s="95">
        <v>2000000</v>
      </c>
      <c r="U124" s="113">
        <v>4000000</v>
      </c>
      <c r="V124">
        <f>U124/T121</f>
        <v>16228.238428014061</v>
      </c>
      <c r="X124" t="s">
        <v>25</v>
      </c>
      <c r="Y124" t="s">
        <v>25</v>
      </c>
      <c r="AH124" s="99"/>
      <c r="AI124" s="99"/>
      <c r="AJ124" s="95">
        <f>SUM(AJ20:AJ123)</f>
        <v>227301003</v>
      </c>
      <c r="AK124" s="99"/>
      <c r="AL124" s="99"/>
      <c r="AM124" s="95">
        <f>SUM(AM20:AM123)</f>
        <v>32265213890</v>
      </c>
      <c r="AN124" s="95">
        <f>AM124*AN127/31</f>
        <v>20816267.025806453</v>
      </c>
    </row>
    <row r="125" spans="11:43">
      <c r="Q125" s="99" t="s">
        <v>4516</v>
      </c>
      <c r="R125" s="95">
        <v>1000000</v>
      </c>
      <c r="X125" t="s">
        <v>25</v>
      </c>
      <c r="AH125" s="99"/>
      <c r="AI125" s="99"/>
      <c r="AJ125" s="99" t="s">
        <v>4060</v>
      </c>
      <c r="AK125" s="99"/>
      <c r="AL125" s="99"/>
      <c r="AM125" s="99" t="s">
        <v>284</v>
      </c>
      <c r="AN125" s="99" t="s">
        <v>943</v>
      </c>
    </row>
    <row r="126" spans="11:43">
      <c r="Q126" s="99" t="s">
        <v>4524</v>
      </c>
      <c r="R126" s="95">
        <v>2000000</v>
      </c>
      <c r="AH126" s="99"/>
      <c r="AI126" s="99"/>
      <c r="AJ126" s="99"/>
      <c r="AK126" s="99"/>
      <c r="AL126" s="99"/>
      <c r="AM126" s="99"/>
      <c r="AN126" s="99"/>
    </row>
    <row r="127" spans="11:43">
      <c r="Q127" s="99" t="s">
        <v>994</v>
      </c>
      <c r="R127" s="95">
        <v>3000000</v>
      </c>
      <c r="AH127" s="99"/>
      <c r="AI127" s="99"/>
      <c r="AJ127" s="99"/>
      <c r="AK127" s="99"/>
      <c r="AL127" s="99"/>
      <c r="AM127" s="99" t="s">
        <v>4061</v>
      </c>
      <c r="AN127" s="99">
        <v>0.02</v>
      </c>
    </row>
    <row r="128" spans="11:43">
      <c r="Q128" s="99"/>
      <c r="R128" s="95"/>
      <c r="AH128" s="99"/>
      <c r="AI128" s="99"/>
      <c r="AJ128" s="99"/>
      <c r="AK128" s="99"/>
      <c r="AL128" s="99"/>
      <c r="AM128" s="99"/>
      <c r="AN128" s="99"/>
    </row>
    <row r="129" spans="17:40" ht="60">
      <c r="Q129" s="99"/>
      <c r="R129" s="95">
        <f>SUM(R123:R127)</f>
        <v>11000000</v>
      </c>
      <c r="T129" s="22" t="s">
        <v>4479</v>
      </c>
      <c r="AH129" s="99"/>
      <c r="AI129" s="99" t="s">
        <v>4062</v>
      </c>
      <c r="AJ129" s="95">
        <f>AJ124+AN124</f>
        <v>248117270.02580646</v>
      </c>
      <c r="AK129" s="99"/>
      <c r="AL129" s="99"/>
      <c r="AM129" s="99"/>
      <c r="AN129" s="99"/>
    </row>
    <row r="130" spans="17:40" ht="45">
      <c r="Q130" s="99"/>
      <c r="R130" s="99" t="s">
        <v>6</v>
      </c>
      <c r="T130" s="22" t="s">
        <v>4480</v>
      </c>
      <c r="AI130" t="s">
        <v>4065</v>
      </c>
      <c r="AJ130" s="114">
        <f>SUM(N39:N50)</f>
        <v>233954150.19999999</v>
      </c>
    </row>
    <row r="131" spans="17:40">
      <c r="AI131" t="s">
        <v>4137</v>
      </c>
      <c r="AJ131" s="114">
        <f>AJ130-AJ124</f>
        <v>6653147.1999999881</v>
      </c>
      <c r="AM131" t="s">
        <v>25</v>
      </c>
    </row>
    <row r="132" spans="17:40">
      <c r="Q132" s="96"/>
      <c r="R132" s="96"/>
      <c r="AI132" t="s">
        <v>943</v>
      </c>
      <c r="AJ132" s="114">
        <f>AN124</f>
        <v>20816267.025806453</v>
      </c>
    </row>
    <row r="133" spans="17:40">
      <c r="Q133" s="96"/>
      <c r="R133" s="96"/>
      <c r="T133" s="99" t="s">
        <v>4497</v>
      </c>
      <c r="U133" s="99" t="s">
        <v>4468</v>
      </c>
      <c r="V133" s="99" t="s">
        <v>953</v>
      </c>
      <c r="AI133" t="s">
        <v>4066</v>
      </c>
      <c r="AJ133" s="114">
        <f>AJ130-AJ129</f>
        <v>-14163119.825806469</v>
      </c>
    </row>
    <row r="134" spans="17:40">
      <c r="T134" s="95">
        <f>R129+R142+R151</f>
        <v>271019393</v>
      </c>
      <c r="U134" s="95">
        <f>R115</f>
        <v>274987579.19999999</v>
      </c>
      <c r="V134" s="95">
        <f>U134-T134</f>
        <v>3968186.1999999881</v>
      </c>
      <c r="AM134" t="s">
        <v>25</v>
      </c>
    </row>
    <row r="135" spans="17:40">
      <c r="Q135" s="99" t="s">
        <v>751</v>
      </c>
      <c r="R135" s="99"/>
      <c r="AJ135" t="s">
        <v>25</v>
      </c>
    </row>
    <row r="136" spans="17:40">
      <c r="Q136" s="99" t="s">
        <v>4451</v>
      </c>
      <c r="R136" s="95">
        <v>172908000</v>
      </c>
      <c r="Y136" t="s">
        <v>25</v>
      </c>
    </row>
    <row r="137" spans="17:40">
      <c r="Q137" s="99" t="s">
        <v>4492</v>
      </c>
      <c r="R137" s="95">
        <v>1400000</v>
      </c>
    </row>
    <row r="138" spans="17:40">
      <c r="Q138" s="99" t="s">
        <v>4233</v>
      </c>
      <c r="R138" s="95">
        <v>247393</v>
      </c>
    </row>
    <row r="139" spans="17:40">
      <c r="Q139" s="99" t="s">
        <v>4232</v>
      </c>
      <c r="R139" s="95">
        <v>6780000</v>
      </c>
    </row>
    <row r="140" spans="17:40">
      <c r="Q140" s="99"/>
      <c r="R140" s="95"/>
      <c r="AH140" s="99" t="s">
        <v>3642</v>
      </c>
      <c r="AI140" s="99" t="s">
        <v>180</v>
      </c>
      <c r="AJ140" s="99" t="s">
        <v>267</v>
      </c>
      <c r="AK140" s="99" t="s">
        <v>4059</v>
      </c>
      <c r="AL140" s="99" t="s">
        <v>4051</v>
      </c>
      <c r="AM140" s="99" t="s">
        <v>282</v>
      </c>
      <c r="AN140" s="99" t="s">
        <v>4294</v>
      </c>
    </row>
    <row r="141" spans="17:40">
      <c r="Q141" s="99"/>
      <c r="R141" s="95"/>
      <c r="AH141" s="99">
        <v>1</v>
      </c>
      <c r="AI141" s="99" t="s">
        <v>3950</v>
      </c>
      <c r="AJ141" s="117">
        <v>3555820</v>
      </c>
      <c r="AK141" s="99">
        <v>2</v>
      </c>
      <c r="AL141" s="99">
        <f>AK141+AL142</f>
        <v>178</v>
      </c>
      <c r="AM141" s="99">
        <f>AJ141*AL141</f>
        <v>632935960</v>
      </c>
      <c r="AN141" s="99" t="s">
        <v>4317</v>
      </c>
    </row>
    <row r="142" spans="17:40">
      <c r="Q142" s="99"/>
      <c r="R142" s="95">
        <f>SUM(R136:R140)</f>
        <v>181335393</v>
      </c>
      <c r="AH142" s="99">
        <v>2</v>
      </c>
      <c r="AI142" s="99" t="s">
        <v>4025</v>
      </c>
      <c r="AJ142" s="117">
        <v>1720837</v>
      </c>
      <c r="AK142" s="99">
        <v>51</v>
      </c>
      <c r="AL142" s="99">
        <f t="shared" ref="AL142:AL151" si="23">AK142+AL143</f>
        <v>176</v>
      </c>
      <c r="AM142" s="99">
        <f t="shared" ref="AM142:AM169" si="24">AJ142*AL142</f>
        <v>302867312</v>
      </c>
      <c r="AN142" s="99" t="s">
        <v>4318</v>
      </c>
    </row>
    <row r="143" spans="17:40">
      <c r="Q143" s="99"/>
      <c r="R143" s="99" t="s">
        <v>6</v>
      </c>
      <c r="AH143" s="99">
        <v>3</v>
      </c>
      <c r="AI143" s="99" t="s">
        <v>4131</v>
      </c>
      <c r="AJ143" s="117">
        <v>150000</v>
      </c>
      <c r="AK143" s="99">
        <v>3</v>
      </c>
      <c r="AL143" s="99">
        <f t="shared" si="23"/>
        <v>125</v>
      </c>
      <c r="AM143" s="99">
        <f t="shared" si="24"/>
        <v>18750000</v>
      </c>
      <c r="AN143" s="99"/>
    </row>
    <row r="144" spans="17:40">
      <c r="AH144" s="99">
        <v>4</v>
      </c>
      <c r="AI144" s="99" t="s">
        <v>4146</v>
      </c>
      <c r="AJ144" s="117">
        <v>-95000</v>
      </c>
      <c r="AK144" s="99">
        <v>8</v>
      </c>
      <c r="AL144" s="99">
        <f t="shared" si="23"/>
        <v>122</v>
      </c>
      <c r="AM144" s="99">
        <f t="shared" si="24"/>
        <v>-11590000</v>
      </c>
      <c r="AN144" s="99"/>
    </row>
    <row r="145" spans="17:44">
      <c r="AH145" s="99">
        <v>5</v>
      </c>
      <c r="AI145" s="99" t="s">
        <v>4173</v>
      </c>
      <c r="AJ145" s="117">
        <v>3150000</v>
      </c>
      <c r="AK145" s="99">
        <v>16</v>
      </c>
      <c r="AL145" s="99">
        <f t="shared" si="23"/>
        <v>114</v>
      </c>
      <c r="AM145" s="99">
        <f t="shared" si="24"/>
        <v>359100000</v>
      </c>
      <c r="AN145" s="99"/>
    </row>
    <row r="146" spans="17:44">
      <c r="Q146" s="99" t="s">
        <v>452</v>
      </c>
      <c r="R146" s="99"/>
      <c r="AH146" s="99">
        <v>6</v>
      </c>
      <c r="AI146" s="99" t="s">
        <v>4242</v>
      </c>
      <c r="AJ146" s="117">
        <v>-65000</v>
      </c>
      <c r="AK146" s="99">
        <v>1</v>
      </c>
      <c r="AL146" s="99">
        <f t="shared" si="23"/>
        <v>98</v>
      </c>
      <c r="AM146" s="99">
        <f t="shared" si="24"/>
        <v>-6370000</v>
      </c>
      <c r="AN146" s="99"/>
      <c r="AR146" t="s">
        <v>25</v>
      </c>
    </row>
    <row r="147" spans="17:44">
      <c r="Q147" s="99" t="s">
        <v>4451</v>
      </c>
      <c r="R147" s="95">
        <v>63115000</v>
      </c>
      <c r="AH147" s="99">
        <v>7</v>
      </c>
      <c r="AI147" s="99" t="s">
        <v>4319</v>
      </c>
      <c r="AJ147" s="117">
        <v>-95000</v>
      </c>
      <c r="AK147" s="99">
        <v>6</v>
      </c>
      <c r="AL147" s="99">
        <f t="shared" si="23"/>
        <v>97</v>
      </c>
      <c r="AM147" s="99">
        <f t="shared" si="24"/>
        <v>-9215000</v>
      </c>
      <c r="AN147" s="99"/>
    </row>
    <row r="148" spans="17:44">
      <c r="Q148" s="99" t="s">
        <v>4506</v>
      </c>
      <c r="R148" s="95">
        <v>13300000</v>
      </c>
      <c r="AH148" s="99">
        <v>8</v>
      </c>
      <c r="AI148" s="99" t="s">
        <v>4320</v>
      </c>
      <c r="AJ148" s="117">
        <v>232000</v>
      </c>
      <c r="AK148" s="99">
        <v>7</v>
      </c>
      <c r="AL148" s="99">
        <f t="shared" si="23"/>
        <v>91</v>
      </c>
      <c r="AM148" s="99">
        <f t="shared" si="24"/>
        <v>21112000</v>
      </c>
      <c r="AN148" s="99"/>
    </row>
    <row r="149" spans="17:44">
      <c r="Q149" s="99" t="s">
        <v>4516</v>
      </c>
      <c r="R149" s="95">
        <v>2269000</v>
      </c>
      <c r="AH149" s="99">
        <v>9</v>
      </c>
      <c r="AI149" s="99" t="s">
        <v>4293</v>
      </c>
      <c r="AJ149" s="117">
        <v>13000000</v>
      </c>
      <c r="AK149" s="99">
        <v>2</v>
      </c>
      <c r="AL149" s="99">
        <f t="shared" si="23"/>
        <v>84</v>
      </c>
      <c r="AM149" s="99">
        <f t="shared" si="24"/>
        <v>1092000000</v>
      </c>
      <c r="AN149" s="99"/>
    </row>
    <row r="150" spans="17:44">
      <c r="Q150" s="99"/>
      <c r="R150" s="95"/>
      <c r="T150" t="s">
        <v>25</v>
      </c>
      <c r="AH150" s="99">
        <v>10</v>
      </c>
      <c r="AI150" s="99" t="s">
        <v>4321</v>
      </c>
      <c r="AJ150" s="117">
        <v>10000000</v>
      </c>
      <c r="AK150" s="99">
        <v>3</v>
      </c>
      <c r="AL150" s="99">
        <f t="shared" si="23"/>
        <v>82</v>
      </c>
      <c r="AM150" s="99">
        <f t="shared" si="24"/>
        <v>820000000</v>
      </c>
      <c r="AN150" s="99"/>
    </row>
    <row r="151" spans="17:44">
      <c r="Q151" s="99"/>
      <c r="R151" s="95">
        <f>SUM(R147:R149)</f>
        <v>78684000</v>
      </c>
      <c r="AH151" s="99">
        <v>11</v>
      </c>
      <c r="AI151" s="99" t="s">
        <v>4306</v>
      </c>
      <c r="AJ151" s="117">
        <v>3400000</v>
      </c>
      <c r="AK151" s="99">
        <v>9</v>
      </c>
      <c r="AL151" s="99">
        <f t="shared" si="23"/>
        <v>79</v>
      </c>
      <c r="AM151" s="99">
        <f t="shared" si="24"/>
        <v>268600000</v>
      </c>
      <c r="AN151" s="99"/>
    </row>
    <row r="152" spans="17:44">
      <c r="Q152" s="99"/>
      <c r="R152" s="99" t="s">
        <v>6</v>
      </c>
      <c r="AH152" s="99">
        <v>12</v>
      </c>
      <c r="AI152" s="99" t="s">
        <v>4353</v>
      </c>
      <c r="AJ152" s="117">
        <v>-8736514</v>
      </c>
      <c r="AK152" s="99">
        <v>1</v>
      </c>
      <c r="AL152" s="99">
        <f>AK152+AL153</f>
        <v>70</v>
      </c>
      <c r="AM152" s="99">
        <f t="shared" si="24"/>
        <v>-611555980</v>
      </c>
      <c r="AN152" s="99"/>
    </row>
    <row r="153" spans="17:44">
      <c r="AH153" s="99">
        <v>13</v>
      </c>
      <c r="AI153" s="99" t="s">
        <v>4354</v>
      </c>
      <c r="AJ153" s="117">
        <v>555000</v>
      </c>
      <c r="AK153" s="99">
        <v>5</v>
      </c>
      <c r="AL153" s="99">
        <f t="shared" ref="AL153:AL169" si="25">AK153+AL154</f>
        <v>69</v>
      </c>
      <c r="AM153" s="99">
        <f t="shared" si="24"/>
        <v>38295000</v>
      </c>
      <c r="AN153" s="99"/>
    </row>
    <row r="154" spans="17:44">
      <c r="AH154" s="99">
        <v>14</v>
      </c>
      <c r="AI154" s="99" t="s">
        <v>4378</v>
      </c>
      <c r="AJ154" s="117">
        <v>-448308</v>
      </c>
      <c r="AK154" s="99">
        <v>6</v>
      </c>
      <c r="AL154" s="99">
        <f t="shared" si="25"/>
        <v>64</v>
      </c>
      <c r="AM154" s="99">
        <f t="shared" si="24"/>
        <v>-28691712</v>
      </c>
      <c r="AN154" s="99"/>
    </row>
    <row r="155" spans="17:44">
      <c r="AH155" s="99">
        <v>15</v>
      </c>
      <c r="AI155" s="99" t="s">
        <v>4410</v>
      </c>
      <c r="AJ155" s="117">
        <v>33225</v>
      </c>
      <c r="AK155" s="99">
        <v>0</v>
      </c>
      <c r="AL155" s="99">
        <f t="shared" si="25"/>
        <v>58</v>
      </c>
      <c r="AM155" s="99">
        <f t="shared" si="24"/>
        <v>1927050</v>
      </c>
      <c r="AN155" s="99"/>
    </row>
    <row r="156" spans="17:44">
      <c r="AH156" s="149">
        <v>16</v>
      </c>
      <c r="AI156" s="149" t="s">
        <v>4410</v>
      </c>
      <c r="AJ156" s="191">
        <v>4098523</v>
      </c>
      <c r="AK156" s="149">
        <v>2</v>
      </c>
      <c r="AL156" s="149">
        <f t="shared" si="25"/>
        <v>58</v>
      </c>
      <c r="AM156" s="149">
        <f t="shared" si="24"/>
        <v>237714334</v>
      </c>
      <c r="AN156" s="149" t="s">
        <v>657</v>
      </c>
    </row>
    <row r="157" spans="17:44">
      <c r="AH157" s="149">
        <v>17</v>
      </c>
      <c r="AI157" s="149" t="s">
        <v>4424</v>
      </c>
      <c r="AJ157" s="191">
        <v>-1000000</v>
      </c>
      <c r="AK157" s="149">
        <v>7</v>
      </c>
      <c r="AL157" s="149">
        <f t="shared" si="25"/>
        <v>56</v>
      </c>
      <c r="AM157" s="149">
        <f t="shared" si="24"/>
        <v>-56000000</v>
      </c>
      <c r="AN157" s="149" t="s">
        <v>657</v>
      </c>
    </row>
    <row r="158" spans="17:44">
      <c r="AH158" s="149">
        <v>18</v>
      </c>
      <c r="AI158" s="149" t="s">
        <v>4447</v>
      </c>
      <c r="AJ158" s="191">
        <v>750000</v>
      </c>
      <c r="AK158" s="149">
        <v>1</v>
      </c>
      <c r="AL158" s="149">
        <f t="shared" si="25"/>
        <v>49</v>
      </c>
      <c r="AM158" s="149">
        <f t="shared" si="24"/>
        <v>36750000</v>
      </c>
      <c r="AN158" s="149" t="s">
        <v>657</v>
      </c>
    </row>
    <row r="159" spans="17:44">
      <c r="AH159" s="199">
        <v>19</v>
      </c>
      <c r="AI159" s="199" t="s">
        <v>4449</v>
      </c>
      <c r="AJ159" s="200">
        <v>-604152</v>
      </c>
      <c r="AK159" s="199">
        <v>0</v>
      </c>
      <c r="AL159" s="199">
        <f t="shared" si="25"/>
        <v>48</v>
      </c>
      <c r="AM159" s="199">
        <f t="shared" si="24"/>
        <v>-28999296</v>
      </c>
      <c r="AN159" s="199" t="s">
        <v>657</v>
      </c>
    </row>
    <row r="160" spans="17:44">
      <c r="AH160" s="99">
        <v>20</v>
      </c>
      <c r="AI160" s="99" t="s">
        <v>4450</v>
      </c>
      <c r="AJ160" s="117">
        <v>-587083</v>
      </c>
      <c r="AK160" s="99">
        <v>4</v>
      </c>
      <c r="AL160" s="99">
        <f t="shared" si="25"/>
        <v>48</v>
      </c>
      <c r="AM160" s="99">
        <f t="shared" si="24"/>
        <v>-28179984</v>
      </c>
      <c r="AN160" s="99"/>
    </row>
    <row r="161" spans="34:40">
      <c r="AH161" s="199">
        <v>21</v>
      </c>
      <c r="AI161" s="199" t="s">
        <v>4451</v>
      </c>
      <c r="AJ161" s="200">
        <v>-754351</v>
      </c>
      <c r="AK161" s="199">
        <v>0</v>
      </c>
      <c r="AL161" s="149">
        <f t="shared" si="25"/>
        <v>44</v>
      </c>
      <c r="AM161" s="199">
        <f t="shared" si="24"/>
        <v>-33191444</v>
      </c>
      <c r="AN161" s="199" t="s">
        <v>657</v>
      </c>
    </row>
    <row r="162" spans="34:40">
      <c r="AH162" s="99">
        <v>22</v>
      </c>
      <c r="AI162" s="99" t="s">
        <v>4451</v>
      </c>
      <c r="AJ162" s="117">
        <v>-189619</v>
      </c>
      <c r="AK162" s="99">
        <v>15</v>
      </c>
      <c r="AL162" s="99">
        <f t="shared" si="25"/>
        <v>44</v>
      </c>
      <c r="AM162" s="99">
        <f t="shared" si="24"/>
        <v>-8343236</v>
      </c>
      <c r="AN162" s="99"/>
    </row>
    <row r="163" spans="34:40">
      <c r="AH163" s="199">
        <v>23</v>
      </c>
      <c r="AI163" s="199" t="s">
        <v>4528</v>
      </c>
      <c r="AJ163" s="199">
        <v>7100</v>
      </c>
      <c r="AK163" s="199">
        <v>0</v>
      </c>
      <c r="AL163" s="149">
        <f t="shared" si="25"/>
        <v>29</v>
      </c>
      <c r="AM163" s="199">
        <f t="shared" si="24"/>
        <v>205900</v>
      </c>
      <c r="AN163" s="199" t="s">
        <v>657</v>
      </c>
    </row>
    <row r="164" spans="34:40">
      <c r="AH164" s="20">
        <v>24</v>
      </c>
      <c r="AI164" s="20" t="s">
        <v>4528</v>
      </c>
      <c r="AJ164" s="20">
        <v>-147902</v>
      </c>
      <c r="AK164" s="20">
        <v>3</v>
      </c>
      <c r="AL164" s="99">
        <f t="shared" si="25"/>
        <v>29</v>
      </c>
      <c r="AM164" s="20">
        <f t="shared" si="24"/>
        <v>-4289158</v>
      </c>
      <c r="AN164" s="20"/>
    </row>
    <row r="165" spans="34:40">
      <c r="AH165" s="149">
        <v>25</v>
      </c>
      <c r="AI165" s="149" t="s">
        <v>4536</v>
      </c>
      <c r="AJ165" s="149">
        <v>-37200</v>
      </c>
      <c r="AK165" s="149">
        <v>4</v>
      </c>
      <c r="AL165" s="149">
        <f t="shared" si="25"/>
        <v>26</v>
      </c>
      <c r="AM165" s="199">
        <f t="shared" si="24"/>
        <v>-967200</v>
      </c>
      <c r="AN165" s="149" t="s">
        <v>657</v>
      </c>
    </row>
    <row r="166" spans="34:40">
      <c r="AH166" s="99">
        <v>26</v>
      </c>
      <c r="AI166" s="99" t="s">
        <v>4570</v>
      </c>
      <c r="AJ166" s="99">
        <v>-372326</v>
      </c>
      <c r="AK166" s="99">
        <v>21</v>
      </c>
      <c r="AL166" s="99">
        <f t="shared" si="25"/>
        <v>22</v>
      </c>
      <c r="AM166" s="20">
        <f t="shared" si="24"/>
        <v>-8191172</v>
      </c>
      <c r="AN166" s="99"/>
    </row>
    <row r="167" spans="34:40">
      <c r="AH167" s="99">
        <v>27</v>
      </c>
      <c r="AI167" s="99" t="s">
        <v>4643</v>
      </c>
      <c r="AJ167" s="99">
        <v>235062</v>
      </c>
      <c r="AK167" s="99">
        <v>0</v>
      </c>
      <c r="AL167" s="99">
        <f t="shared" si="25"/>
        <v>1</v>
      </c>
      <c r="AM167" s="20">
        <f t="shared" si="24"/>
        <v>235062</v>
      </c>
      <c r="AN167" s="99"/>
    </row>
    <row r="168" spans="34:40">
      <c r="AH168" s="149">
        <v>28</v>
      </c>
      <c r="AI168" s="149" t="s">
        <v>4643</v>
      </c>
      <c r="AJ168" s="149">
        <v>235062</v>
      </c>
      <c r="AK168" s="149">
        <v>1</v>
      </c>
      <c r="AL168" s="149">
        <f t="shared" si="25"/>
        <v>1</v>
      </c>
      <c r="AM168" s="149">
        <f t="shared" si="24"/>
        <v>235062</v>
      </c>
      <c r="AN168" s="149" t="s">
        <v>657</v>
      </c>
    </row>
    <row r="169" spans="34:40">
      <c r="AH169" s="99"/>
      <c r="AI169" s="99"/>
      <c r="AJ169" s="99"/>
      <c r="AK169" s="99"/>
      <c r="AL169" s="99">
        <f t="shared" si="25"/>
        <v>0</v>
      </c>
      <c r="AM169" s="20">
        <f t="shared" si="24"/>
        <v>0</v>
      </c>
      <c r="AN169" s="99"/>
    </row>
    <row r="170" spans="34:40">
      <c r="AH170" s="99"/>
      <c r="AI170" s="99"/>
      <c r="AJ170" s="99"/>
      <c r="AK170" s="99"/>
      <c r="AL170" s="99"/>
      <c r="AM170" s="99"/>
      <c r="AN170" s="99"/>
    </row>
    <row r="171" spans="34:40">
      <c r="AH171" s="99"/>
      <c r="AI171" s="99"/>
      <c r="AJ171" s="95">
        <f>SUM(AJ141:AJ170)</f>
        <v>27990174</v>
      </c>
      <c r="AK171" s="99"/>
      <c r="AL171" s="99"/>
      <c r="AM171" s="99">
        <f>SUM(AM141:AM170)</f>
        <v>2995143498</v>
      </c>
      <c r="AN171" s="95">
        <f>AM171*AN127/31</f>
        <v>1932350.6438709677</v>
      </c>
    </row>
    <row r="172" spans="34:40">
      <c r="AJ172" t="s">
        <v>4060</v>
      </c>
      <c r="AM172" t="s">
        <v>284</v>
      </c>
      <c r="AN172" t="s">
        <v>943</v>
      </c>
    </row>
    <row r="174" spans="34:40">
      <c r="AI174" t="s">
        <v>4062</v>
      </c>
      <c r="AJ174" s="114">
        <f>AJ171+AN171</f>
        <v>29922524.643870968</v>
      </c>
    </row>
    <row r="175" spans="34:40">
      <c r="AI175" t="s">
        <v>4065</v>
      </c>
      <c r="AJ175" s="114">
        <f>SUM(N20:N28)</f>
        <v>28536708</v>
      </c>
    </row>
    <row r="176" spans="34:40">
      <c r="AI176" t="s">
        <v>4137</v>
      </c>
      <c r="AJ176" s="114">
        <f>AJ175-AJ171</f>
        <v>546534</v>
      </c>
    </row>
    <row r="177" spans="35:40">
      <c r="AI177" t="s">
        <v>943</v>
      </c>
      <c r="AJ177" s="114">
        <f>AN171</f>
        <v>1932350.6438709677</v>
      </c>
    </row>
    <row r="178" spans="35:40">
      <c r="AI178" t="s">
        <v>4066</v>
      </c>
      <c r="AJ178" s="114">
        <f>AJ176-AJ177</f>
        <v>-1385816.6438709677</v>
      </c>
      <c r="AN178" t="s">
        <v>25</v>
      </c>
    </row>
    <row r="179" spans="35:40">
      <c r="AN179" t="s">
        <v>25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 S28 P22 U93 S7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G8" sqref="G8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1707</v>
      </c>
      <c r="C2" s="209" t="s">
        <v>4649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4616</v>
      </c>
      <c r="B3" s="207">
        <v>1184</v>
      </c>
      <c r="C3" s="209" t="s">
        <v>4623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4617</v>
      </c>
      <c r="B4" s="207">
        <v>1804</v>
      </c>
      <c r="C4" s="209" t="s">
        <v>4624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/>
      <c r="B5" s="207"/>
      <c r="C5" s="209"/>
      <c r="D5" s="99"/>
      <c r="J5" s="169"/>
      <c r="K5" s="169"/>
      <c r="L5" s="113"/>
      <c r="M5" s="169"/>
      <c r="N5" s="113"/>
      <c r="O5" s="99"/>
    </row>
    <row r="6" spans="1:15">
      <c r="A6" s="99" t="s">
        <v>1086</v>
      </c>
      <c r="B6" s="207">
        <v>4060000</v>
      </c>
      <c r="C6" s="170">
        <v>4260000</v>
      </c>
      <c r="D6" s="99" t="s">
        <v>4510</v>
      </c>
      <c r="F6" t="s">
        <v>25</v>
      </c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4586</v>
      </c>
      <c r="B7" s="207">
        <v>1689</v>
      </c>
      <c r="C7" s="170"/>
      <c r="D7" s="99"/>
      <c r="F7" s="114">
        <v>0</v>
      </c>
      <c r="J7" s="169"/>
      <c r="K7" s="169"/>
      <c r="L7" s="169"/>
      <c r="M7" s="169" t="s">
        <v>6</v>
      </c>
      <c r="N7" s="169"/>
      <c r="O7" s="99"/>
    </row>
    <row r="8" spans="1:15">
      <c r="A8" s="99" t="s">
        <v>4553</v>
      </c>
      <c r="B8" s="207">
        <v>3414</v>
      </c>
      <c r="C8" s="170">
        <v>3622</v>
      </c>
      <c r="D8" s="99"/>
      <c r="F8">
        <v>0</v>
      </c>
      <c r="M8" s="113">
        <f>N6/M6</f>
        <v>4053750</v>
      </c>
    </row>
    <row r="9" spans="1:15">
      <c r="A9" s="99" t="s">
        <v>4610</v>
      </c>
      <c r="B9" s="207">
        <v>1174</v>
      </c>
      <c r="C9" s="170" t="s">
        <v>25</v>
      </c>
      <c r="D9" s="99"/>
      <c r="F9">
        <v>0</v>
      </c>
      <c r="M9" s="41" t="s">
        <v>4538</v>
      </c>
      <c r="N9" t="s">
        <v>25</v>
      </c>
    </row>
    <row r="10" spans="1:15">
      <c r="A10" s="99" t="s">
        <v>4416</v>
      </c>
      <c r="B10" s="207">
        <v>472</v>
      </c>
      <c r="C10" s="170">
        <v>540</v>
      </c>
      <c r="D10" s="99"/>
      <c r="F10">
        <v>0</v>
      </c>
    </row>
    <row r="11" spans="1:15">
      <c r="A11" s="99"/>
      <c r="B11" s="207"/>
      <c r="C11" s="170"/>
      <c r="D11" s="99"/>
      <c r="F11" s="114">
        <v>0</v>
      </c>
    </row>
    <row r="12" spans="1:15">
      <c r="A12" s="99" t="s">
        <v>4572</v>
      </c>
      <c r="B12" s="207">
        <v>-392456</v>
      </c>
      <c r="C12" s="170"/>
      <c r="D12" s="59" t="s">
        <v>4642</v>
      </c>
      <c r="F12" s="114">
        <v>0</v>
      </c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F13" s="114">
        <v>0</v>
      </c>
      <c r="M13">
        <f>65-M3</f>
        <v>61</v>
      </c>
    </row>
    <row r="14" spans="1:15">
      <c r="A14" s="99"/>
      <c r="B14" s="207"/>
      <c r="C14" s="170"/>
      <c r="D14" s="99"/>
      <c r="F14" s="114">
        <v>0</v>
      </c>
    </row>
    <row r="15" spans="1:15">
      <c r="A15" s="99"/>
      <c r="B15" s="207"/>
      <c r="C15" s="170"/>
      <c r="D15" s="99"/>
      <c r="F15" s="114">
        <f>B12+F7+F8+F9+F10+F11+F12+F13+F14</f>
        <v>-392456</v>
      </c>
    </row>
    <row r="16" spans="1:15">
      <c r="A16" s="99"/>
      <c r="B16" s="207"/>
      <c r="C16" s="170"/>
      <c r="D16" s="99"/>
    </row>
    <row r="17" spans="1:19">
      <c r="A17" s="99"/>
      <c r="G17" s="169" t="s">
        <v>4537</v>
      </c>
      <c r="H17" s="169" t="s">
        <v>4297</v>
      </c>
      <c r="I17" s="169" t="s">
        <v>937</v>
      </c>
      <c r="J17" s="169" t="s">
        <v>4244</v>
      </c>
      <c r="K17" s="169" t="s">
        <v>4566</v>
      </c>
      <c r="L17" s="169"/>
      <c r="M17" s="41"/>
      <c r="N17" s="41"/>
      <c r="O17" s="169" t="s">
        <v>4549</v>
      </c>
      <c r="P17" s="169" t="s">
        <v>1086</v>
      </c>
      <c r="Q17" s="169" t="s">
        <v>4244</v>
      </c>
      <c r="R17" s="169" t="s">
        <v>4566</v>
      </c>
      <c r="S17" s="169"/>
    </row>
    <row r="18" spans="1:19">
      <c r="A18" s="99"/>
      <c r="B18" s="207">
        <v>3965000</v>
      </c>
      <c r="C18" s="170"/>
      <c r="D18" s="99" t="s">
        <v>4498</v>
      </c>
      <c r="G18" s="169" t="s">
        <v>4546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4603</v>
      </c>
      <c r="M18" s="41"/>
      <c r="N18" s="41"/>
      <c r="O18" s="169" t="s">
        <v>4536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>
        <v>3880000</v>
      </c>
      <c r="C19" s="170"/>
      <c r="D19" s="99" t="s">
        <v>4505</v>
      </c>
      <c r="G19" s="169" t="s">
        <v>4545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4603</v>
      </c>
      <c r="M19" s="41"/>
      <c r="N19" s="41"/>
      <c r="O19" s="169"/>
      <c r="P19" s="169"/>
      <c r="Q19" s="169"/>
      <c r="R19" s="169"/>
      <c r="S19" s="169"/>
    </row>
    <row r="20" spans="1:19">
      <c r="A20" s="99" t="s">
        <v>4511</v>
      </c>
      <c r="B20" s="208"/>
      <c r="C20" s="170">
        <v>3894000</v>
      </c>
      <c r="D20" s="99" t="s">
        <v>4506</v>
      </c>
      <c r="G20" s="169" t="s">
        <v>4547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4603</v>
      </c>
      <c r="M20" s="41"/>
      <c r="N20" s="41"/>
      <c r="O20" s="169"/>
      <c r="P20" s="169"/>
      <c r="Q20" s="169"/>
      <c r="R20" s="169"/>
      <c r="S20" s="169"/>
    </row>
    <row r="21" spans="1:19">
      <c r="A21" s="99"/>
      <c r="B21" s="207"/>
      <c r="C21" s="170">
        <v>3845000</v>
      </c>
      <c r="D21" s="99" t="s">
        <v>4506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4604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/>
      <c r="C22" s="170">
        <v>3845000</v>
      </c>
      <c r="D22" s="99" t="s">
        <v>4506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/>
      <c r="C23" s="170">
        <v>3845000</v>
      </c>
      <c r="D23" s="99" t="s">
        <v>4506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>
        <v>3915000</v>
      </c>
      <c r="C25" s="170"/>
      <c r="D25" s="99" t="s">
        <v>4512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</row>
    <row r="27" spans="1:19">
      <c r="A27" s="99"/>
      <c r="B27" s="207"/>
      <c r="C27" s="170"/>
      <c r="D27" s="99" t="s">
        <v>4525</v>
      </c>
    </row>
    <row r="28" spans="1:19">
      <c r="A28" s="99" t="s">
        <v>4548</v>
      </c>
      <c r="B28" s="207"/>
      <c r="C28" s="170">
        <v>3421299</v>
      </c>
      <c r="D28" s="99" t="s">
        <v>4232</v>
      </c>
      <c r="I28" t="s">
        <v>25</v>
      </c>
      <c r="K28">
        <f>K20/K21</f>
        <v>1.0763394194208415</v>
      </c>
    </row>
    <row r="29" spans="1:19">
      <c r="A29" s="99" t="s">
        <v>4580</v>
      </c>
      <c r="B29" s="207"/>
      <c r="C29" s="170">
        <v>3490000</v>
      </c>
      <c r="D29" s="99" t="s">
        <v>4232</v>
      </c>
    </row>
    <row r="30" spans="1:19">
      <c r="A30" s="99" t="s">
        <v>4581</v>
      </c>
      <c r="B30" s="207"/>
      <c r="C30" s="170">
        <v>271000</v>
      </c>
      <c r="D30" s="99" t="s">
        <v>4577</v>
      </c>
    </row>
    <row r="31" spans="1:19">
      <c r="A31" s="99" t="s">
        <v>4591</v>
      </c>
      <c r="B31" s="207"/>
      <c r="C31" s="170">
        <v>69700</v>
      </c>
      <c r="D31" s="99" t="s">
        <v>4582</v>
      </c>
    </row>
    <row r="32" spans="1:19">
      <c r="A32" s="99"/>
      <c r="B32" s="207"/>
      <c r="C32" s="170"/>
      <c r="D32" s="99"/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  <c r="I38" s="41"/>
      <c r="J38" s="41"/>
      <c r="K38" s="41"/>
      <c r="L38" s="41"/>
      <c r="M38" s="41"/>
    </row>
    <row r="41" spans="1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E1" workbookViewId="0">
      <selection activeCell="AC4" sqref="AC4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  <col min="25" max="25" width="8.42578125" customWidth="1"/>
    <col min="26" max="26" width="11.7109375" customWidth="1"/>
    <col min="28" max="28" width="12.28515625" customWidth="1"/>
    <col min="29" max="29" width="30.7109375" bestFit="1" customWidth="1"/>
  </cols>
  <sheetData>
    <row r="1" spans="1:34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34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  <c r="Y2" s="99" t="s">
        <v>4556</v>
      </c>
      <c r="Z2" s="99" t="s">
        <v>4631</v>
      </c>
      <c r="AA2" s="99" t="s">
        <v>4629</v>
      </c>
      <c r="AB2" s="99" t="s">
        <v>4630</v>
      </c>
      <c r="AC2" s="99" t="s">
        <v>4633</v>
      </c>
      <c r="AD2" s="99"/>
      <c r="AE2" s="99"/>
      <c r="AF2" s="99"/>
      <c r="AG2" s="99"/>
      <c r="AH2" s="99"/>
    </row>
    <row r="3" spans="1:34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  <c r="Y3" s="99" t="s">
        <v>4244</v>
      </c>
      <c r="Z3" s="99">
        <v>2740</v>
      </c>
      <c r="AA3" s="99">
        <v>1790</v>
      </c>
      <c r="AB3" s="99">
        <f t="shared" ref="AB3:AB4" si="0">AA3/Z3</f>
        <v>0.65328467153284675</v>
      </c>
      <c r="AC3" s="99" t="s">
        <v>4635</v>
      </c>
      <c r="AD3" s="99"/>
      <c r="AE3" s="99"/>
      <c r="AF3" s="99"/>
      <c r="AG3" s="99"/>
      <c r="AH3" s="99"/>
    </row>
    <row r="4" spans="1:34">
      <c r="A4" s="99">
        <v>3</v>
      </c>
      <c r="B4" s="99"/>
      <c r="C4" s="170">
        <v>104</v>
      </c>
      <c r="D4" s="99">
        <v>-20000</v>
      </c>
      <c r="E4" s="99">
        <f t="shared" ref="E4:E24" si="1">E3+D4</f>
        <v>960000</v>
      </c>
      <c r="F4" s="170">
        <f t="shared" ref="F4:F24" si="2">-C4*D4*(1-IF(D4&lt;0,$O$1,$O$2))</f>
        <v>2066896</v>
      </c>
      <c r="G4" s="170">
        <f t="shared" ref="G4:G24" si="3">ABS(C4*D4*IF(D4&lt;0,$O$1,$O$2))</f>
        <v>13104</v>
      </c>
      <c r="Y4" s="99" t="s">
        <v>4632</v>
      </c>
      <c r="Z4" s="99">
        <v>1</v>
      </c>
      <c r="AA4" s="99">
        <v>1</v>
      </c>
      <c r="AB4" s="99">
        <f t="shared" si="0"/>
        <v>1</v>
      </c>
      <c r="AC4" s="99" t="s">
        <v>4634</v>
      </c>
      <c r="AD4" s="99"/>
      <c r="AE4" s="99"/>
      <c r="AF4" s="99"/>
      <c r="AG4" s="99"/>
      <c r="AH4" s="99"/>
    </row>
    <row r="5" spans="1:34">
      <c r="A5" s="99">
        <v>4</v>
      </c>
      <c r="B5" s="99"/>
      <c r="C5" s="170">
        <v>102</v>
      </c>
      <c r="D5" s="99">
        <v>20000</v>
      </c>
      <c r="E5" s="99">
        <f t="shared" si="1"/>
        <v>980000</v>
      </c>
      <c r="F5" s="170">
        <f t="shared" si="2"/>
        <v>-2030004</v>
      </c>
      <c r="G5" s="170">
        <f t="shared" si="3"/>
        <v>9996</v>
      </c>
      <c r="Y5" s="99" t="s">
        <v>4616</v>
      </c>
      <c r="Z5" s="99">
        <v>2180</v>
      </c>
      <c r="AA5" s="99">
        <v>1194</v>
      </c>
      <c r="AB5" s="99">
        <f>AA5/Z5</f>
        <v>0.54770642201834863</v>
      </c>
      <c r="AC5" s="99"/>
      <c r="AD5" s="99"/>
      <c r="AE5" s="99"/>
      <c r="AF5" s="99"/>
      <c r="AG5" s="99"/>
      <c r="AH5" s="99"/>
    </row>
    <row r="6" spans="1:34">
      <c r="A6" s="99">
        <v>5</v>
      </c>
      <c r="B6" s="99"/>
      <c r="C6" s="170">
        <v>100</v>
      </c>
      <c r="D6" s="99">
        <v>20000</v>
      </c>
      <c r="E6" s="99">
        <f t="shared" si="1"/>
        <v>1000000</v>
      </c>
      <c r="F6" s="170">
        <f t="shared" si="2"/>
        <v>-1990200</v>
      </c>
      <c r="G6" s="170">
        <f t="shared" si="3"/>
        <v>9800</v>
      </c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>
      <c r="A7" s="99">
        <v>6</v>
      </c>
      <c r="B7" s="99"/>
      <c r="C7" s="170">
        <v>98</v>
      </c>
      <c r="D7" s="99">
        <v>20000</v>
      </c>
      <c r="E7" s="99">
        <f t="shared" si="1"/>
        <v>1020000</v>
      </c>
      <c r="F7" s="170">
        <f t="shared" si="2"/>
        <v>-1950396</v>
      </c>
      <c r="G7" s="170">
        <f t="shared" si="3"/>
        <v>9604</v>
      </c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>
      <c r="A8" s="99">
        <v>7</v>
      </c>
      <c r="B8" s="99"/>
      <c r="C8" s="170">
        <v>96</v>
      </c>
      <c r="D8" s="99">
        <v>20000</v>
      </c>
      <c r="E8" s="99">
        <f t="shared" si="1"/>
        <v>1040000</v>
      </c>
      <c r="F8" s="170">
        <f t="shared" si="2"/>
        <v>-1910592</v>
      </c>
      <c r="G8" s="170">
        <f t="shared" si="3"/>
        <v>9408</v>
      </c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>
      <c r="A9" s="99">
        <v>8</v>
      </c>
      <c r="B9" s="99"/>
      <c r="C9" s="170">
        <v>98</v>
      </c>
      <c r="D9" s="99">
        <v>-20000</v>
      </c>
      <c r="E9" s="99">
        <f t="shared" si="1"/>
        <v>1020000</v>
      </c>
      <c r="F9" s="170">
        <f t="shared" si="2"/>
        <v>1947652</v>
      </c>
      <c r="G9" s="170">
        <f t="shared" si="3"/>
        <v>12348</v>
      </c>
      <c r="Q9" s="96">
        <v>1000000</v>
      </c>
      <c r="R9" s="96">
        <f>Q9*0.03</f>
        <v>30000</v>
      </c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>
      <c r="A10" s="99">
        <v>9</v>
      </c>
      <c r="B10" s="99"/>
      <c r="C10" s="170">
        <v>96</v>
      </c>
      <c r="D10" s="99">
        <v>20000</v>
      </c>
      <c r="E10" s="99">
        <f t="shared" si="1"/>
        <v>1040000</v>
      </c>
      <c r="F10" s="170">
        <f t="shared" si="2"/>
        <v>-1910592</v>
      </c>
      <c r="G10" s="170">
        <f t="shared" si="3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>
      <c r="A11" s="99">
        <v>10</v>
      </c>
      <c r="B11" s="99"/>
      <c r="C11" s="170">
        <v>98</v>
      </c>
      <c r="D11" s="99">
        <v>-20000</v>
      </c>
      <c r="E11" s="99">
        <f t="shared" si="1"/>
        <v>1020000</v>
      </c>
      <c r="F11" s="170">
        <f t="shared" si="2"/>
        <v>1947652</v>
      </c>
      <c r="G11" s="170">
        <f t="shared" si="3"/>
        <v>12348</v>
      </c>
      <c r="T11" s="96"/>
      <c r="U11" s="96"/>
      <c r="V11" s="96"/>
      <c r="W11" s="96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>
      <c r="A12" s="99">
        <v>11</v>
      </c>
      <c r="B12" s="99"/>
      <c r="C12" s="170">
        <v>100</v>
      </c>
      <c r="D12" s="99">
        <v>-20000</v>
      </c>
      <c r="E12" s="99">
        <f t="shared" si="1"/>
        <v>1000000</v>
      </c>
      <c r="F12" s="170">
        <f t="shared" si="2"/>
        <v>1987400</v>
      </c>
      <c r="G12" s="170">
        <f t="shared" si="3"/>
        <v>12600</v>
      </c>
      <c r="O12" s="96"/>
      <c r="P12" s="96"/>
      <c r="S12" s="96"/>
      <c r="T12" s="96"/>
      <c r="U12" s="96"/>
      <c r="V12" s="96"/>
      <c r="W12" s="96"/>
      <c r="X12" s="96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>
      <c r="A13" s="99">
        <v>12</v>
      </c>
      <c r="B13" s="99"/>
      <c r="C13" s="170">
        <v>102</v>
      </c>
      <c r="D13" s="99">
        <v>-20000</v>
      </c>
      <c r="E13" s="99">
        <f t="shared" si="1"/>
        <v>980000</v>
      </c>
      <c r="F13" s="170">
        <f t="shared" si="2"/>
        <v>2027148</v>
      </c>
      <c r="G13" s="170">
        <f t="shared" si="3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>
      <c r="A14" s="99">
        <v>13</v>
      </c>
      <c r="B14" s="99"/>
      <c r="C14" s="170">
        <v>104</v>
      </c>
      <c r="D14" s="99">
        <v>-20000</v>
      </c>
      <c r="E14" s="99">
        <f t="shared" si="1"/>
        <v>960000</v>
      </c>
      <c r="F14" s="170">
        <f t="shared" si="2"/>
        <v>2066896</v>
      </c>
      <c r="G14" s="170">
        <f t="shared" si="3"/>
        <v>13104</v>
      </c>
      <c r="O14" s="96"/>
      <c r="P14" s="96"/>
      <c r="S14" s="96"/>
      <c r="T14" s="96"/>
      <c r="U14" s="96"/>
      <c r="V14" s="96"/>
      <c r="W14" s="96"/>
      <c r="X14" s="96"/>
      <c r="Y14" s="99"/>
      <c r="Z14" s="99"/>
      <c r="AA14" s="99"/>
      <c r="AB14" s="99"/>
      <c r="AC14" s="99"/>
      <c r="AD14" s="99"/>
      <c r="AE14" s="99"/>
      <c r="AF14" s="99"/>
      <c r="AG14" s="99"/>
      <c r="AH14" s="99"/>
    </row>
    <row r="15" spans="1:34">
      <c r="A15" s="99">
        <v>14</v>
      </c>
      <c r="B15" s="99"/>
      <c r="C15" s="170">
        <v>102</v>
      </c>
      <c r="D15" s="99">
        <v>20000</v>
      </c>
      <c r="E15" s="99">
        <f t="shared" si="1"/>
        <v>980000</v>
      </c>
      <c r="F15" s="170">
        <f t="shared" si="2"/>
        <v>-2030004</v>
      </c>
      <c r="G15" s="170">
        <f t="shared" si="3"/>
        <v>9996</v>
      </c>
      <c r="O15" s="96"/>
      <c r="P15" s="96"/>
      <c r="S15" s="96"/>
      <c r="T15" s="96"/>
      <c r="U15" s="96"/>
      <c r="V15" s="96"/>
      <c r="W15" s="96"/>
      <c r="X15" s="96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A16" s="99">
        <v>15</v>
      </c>
      <c r="B16" s="99"/>
      <c r="C16" s="170">
        <v>100</v>
      </c>
      <c r="D16" s="99">
        <v>20000</v>
      </c>
      <c r="E16" s="99">
        <f t="shared" si="1"/>
        <v>1000000</v>
      </c>
      <c r="F16" s="170">
        <f t="shared" si="2"/>
        <v>-1990200</v>
      </c>
      <c r="G16" s="170">
        <f t="shared" si="3"/>
        <v>9800</v>
      </c>
      <c r="O16" s="96"/>
      <c r="P16" s="96"/>
      <c r="S16" s="96"/>
      <c r="T16" s="96"/>
      <c r="U16" s="96"/>
      <c r="V16" s="96"/>
      <c r="W16" s="96"/>
      <c r="X16" s="96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1"/>
        <v>980000</v>
      </c>
      <c r="F17" s="170">
        <f t="shared" si="2"/>
        <v>2027148</v>
      </c>
      <c r="G17" s="170">
        <f t="shared" si="3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1"/>
        <v>960000</v>
      </c>
      <c r="F18" s="170">
        <f t="shared" si="2"/>
        <v>2066896</v>
      </c>
      <c r="G18" s="170">
        <f t="shared" si="3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1"/>
        <v>940000</v>
      </c>
      <c r="F19" s="170">
        <f t="shared" si="2"/>
        <v>2106644</v>
      </c>
      <c r="G19" s="170">
        <f t="shared" si="3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1"/>
        <v>920000</v>
      </c>
      <c r="F20" s="170">
        <f t="shared" si="2"/>
        <v>2146392</v>
      </c>
      <c r="G20" s="170">
        <f t="shared" si="3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1"/>
        <v>940000</v>
      </c>
      <c r="F21" s="170">
        <f t="shared" si="2"/>
        <v>-2109612</v>
      </c>
      <c r="G21" s="170">
        <f t="shared" si="3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1"/>
        <v>960000</v>
      </c>
      <c r="F22" s="170">
        <f t="shared" si="2"/>
        <v>-2069808</v>
      </c>
      <c r="G22" s="170">
        <f t="shared" si="3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1"/>
        <v>980000</v>
      </c>
      <c r="F23" s="170">
        <f t="shared" si="2"/>
        <v>-2030004</v>
      </c>
      <c r="G23" s="170">
        <f t="shared" si="3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1"/>
        <v>1000000</v>
      </c>
      <c r="F24" s="170">
        <f t="shared" si="2"/>
        <v>-1990200</v>
      </c>
      <c r="G24" s="170">
        <f t="shared" si="3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K1"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3" t="s">
        <v>1089</v>
      </c>
      <c r="R21" s="213"/>
      <c r="S21" s="213"/>
      <c r="T21" s="213"/>
      <c r="U21" s="96"/>
      <c r="V21" s="96"/>
      <c r="W21" s="96"/>
      <c r="X21" s="96"/>
      <c r="Y21" s="96"/>
      <c r="Z21" s="96"/>
    </row>
    <row r="22" spans="5:35">
      <c r="O22" s="99"/>
      <c r="P22" s="99"/>
      <c r="Q22" s="213"/>
      <c r="R22" s="213"/>
      <c r="S22" s="213"/>
      <c r="T22" s="213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4" t="s">
        <v>1090</v>
      </c>
      <c r="R23" s="215" t="s">
        <v>1091</v>
      </c>
      <c r="S23" s="214" t="s">
        <v>1092</v>
      </c>
      <c r="T23" s="216" t="s">
        <v>1093</v>
      </c>
      <c r="AD23" t="s">
        <v>25</v>
      </c>
    </row>
    <row r="24" spans="5:35">
      <c r="O24" s="99"/>
      <c r="P24" s="99"/>
      <c r="Q24" s="214"/>
      <c r="R24" s="215"/>
      <c r="S24" s="214"/>
      <c r="T24" s="216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2019-01-16T19:31:18Z</dcterms:modified>
</cp:coreProperties>
</file>