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لیست خرید و فروش" sheetId="32" r:id="rId40"/>
    <sheet name="اوراق بدون ریسک" sheetId="33" r:id="rId41"/>
    <sheet name="نکات" sheetId="35" r:id="rId42"/>
    <sheet name="سکه" sheetId="36" r:id="rId43"/>
    <sheet name="apply" sheetId="37" r:id="rId44"/>
    <sheet name="بیمه" sheetId="39" r:id="rId45"/>
    <sheet name="آرشیو قیمت ارجینال" sheetId="40" r:id="rId46"/>
    <sheet name="تحلیل1" sheetId="41" r:id="rId47"/>
  </sheets>
  <calcPr calcId="145621"/>
</workbook>
</file>

<file path=xl/calcChain.xml><?xml version="1.0" encoding="utf-8"?>
<calcChain xmlns="http://schemas.openxmlformats.org/spreadsheetml/2006/main">
  <c r="D72" i="48" l="1"/>
  <c r="R45" i="18"/>
  <c r="Q45" i="18"/>
  <c r="N27" i="18"/>
  <c r="C8" i="36" l="1"/>
  <c r="P45" i="18"/>
  <c r="N38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37" i="18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P20" i="18"/>
  <c r="N20" i="18" s="1"/>
  <c r="N36" i="18"/>
  <c r="P19" i="18"/>
  <c r="N19" i="18" s="1"/>
  <c r="B263" i="15"/>
  <c r="Q20" i="49" l="1"/>
  <c r="P20" i="49" s="1"/>
  <c r="S18" i="49"/>
  <c r="R18" i="49" s="1"/>
  <c r="U19" i="49"/>
  <c r="T19" i="49" s="1"/>
  <c r="S33" i="18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N35" i="18"/>
  <c r="Q40" i="18" s="1"/>
  <c r="Q22" i="49" l="1"/>
  <c r="P22" i="49"/>
  <c r="U21" i="49"/>
  <c r="T21" i="49" s="1"/>
  <c r="S22" i="49"/>
  <c r="R22" i="49" s="1"/>
  <c r="S34" i="18"/>
  <c r="S35" i="18" s="1"/>
  <c r="S36" i="18" s="1"/>
  <c r="S37" i="18" s="1"/>
  <c r="S38" i="18" s="1"/>
  <c r="P34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82" i="18" l="1"/>
  <c r="AP14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5" i="18"/>
  <c r="AJ76" i="18" l="1"/>
  <c r="AK77" i="18"/>
  <c r="AJ75" i="18" l="1"/>
  <c r="AK76" i="18"/>
  <c r="N33" i="18"/>
  <c r="AJ74" i="18" l="1"/>
  <c r="AK75" i="18"/>
  <c r="AH89" i="18"/>
  <c r="AH90" i="18" s="1"/>
  <c r="AJ73" i="18" l="1"/>
  <c r="AK74" i="18"/>
  <c r="U45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AK53" i="18" l="1"/>
  <c r="AJ52" i="18"/>
  <c r="B27" i="48"/>
  <c r="D2" i="48"/>
  <c r="I2" i="48" s="1"/>
  <c r="I28" i="48" s="1"/>
  <c r="G2" i="48"/>
  <c r="G28" i="48" s="1"/>
  <c r="H33" i="48" s="1"/>
  <c r="I2" i="46"/>
  <c r="I30" i="46" s="1"/>
  <c r="I35" i="46" s="1"/>
  <c r="H35" i="46"/>
  <c r="E32" i="14"/>
  <c r="G32" i="14" s="1"/>
  <c r="G33" i="14"/>
  <c r="D64" i="43"/>
  <c r="AJ51" i="18" l="1"/>
  <c r="AK52" i="18"/>
  <c r="I33" i="48"/>
  <c r="D27" i="48"/>
  <c r="E253" i="15"/>
  <c r="E252" i="15"/>
  <c r="AJ50" i="18" l="1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AL83" i="18" s="1"/>
  <c r="AH88" i="18" s="1"/>
  <c r="AH92" i="18" s="1"/>
  <c r="E173" i="13"/>
  <c r="G174" i="13"/>
  <c r="D238" i="15"/>
  <c r="F239" i="15"/>
  <c r="X720" i="41"/>
  <c r="U2123" i="41"/>
  <c r="AH91" i="18" l="1"/>
  <c r="E172" i="13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9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7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8" i="18" l="1"/>
  <c r="L47" i="18"/>
  <c r="E33" i="13"/>
  <c r="G34" i="13"/>
  <c r="I97" i="20"/>
  <c r="K97" i="20"/>
  <c r="J97" i="20"/>
  <c r="F108" i="15"/>
  <c r="C20" i="18"/>
  <c r="G20" i="14"/>
  <c r="G21" i="14"/>
  <c r="L49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<sst xmlns="http://schemas.openxmlformats.org/spreadsheetml/2006/main" count="9086" uniqueCount="4343">
  <si>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</si>
  <si>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</si>
  <si>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</si>
  <si>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</si>
  <si>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</si>
  <si>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</si>
  <si>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</si>
  <si>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</si>
  <si>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</si>
  <si>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</si>
  <si>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</si>
  <si>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</si>
  <si>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</si>
  <si>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</si>
  <si>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</si>
  <si>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</si>
  <si>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</si>
  <si>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</si>
  <si>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</si>
  <si>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</si>
  <si>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</si>
  <si>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</si>
  <si>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</si>
  <si>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</si>
  <si>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</si>
  <si>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</si>
  <si>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</si>
  <si>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</si>
  <si>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</si>
  <si>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</si>
  <si>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</si>
  <si>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</si>
  <si>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</si>
  <si>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</si>
  <si>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</si>
  <si>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</si>
  <si>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</si>
  <si>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</si>
  <si>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</si>
  <si>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</si>
  <si>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</si>
  <si>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</si>
  <si>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</si>
  <si>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</si>
  <si>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</si>
  <si>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</si>
  <si>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</si>
  <si>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</si>
  <si>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</si>
  <si>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</si>
  <si>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</si>
  <si>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</si>
  <si>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</si>
  <si>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</si>
  <si>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</si>
  <si>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</si>
  <si>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</si>
  <si>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</si>
  <si>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</si>
  <si>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</si>
  <si>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</si>
  <si>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</si>
  <si>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</si>
  <si>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</si>
  <si>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</si>
  <si>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</si>
  <si>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</si>
  <si>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</si>
  <si>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</si>
  <si>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</si>
  <si>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</si>
  <si>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</si>
  <si>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</si>
  <si>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</si>
  <si>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</si>
  <si>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</si>
  <si>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</si>
  <si>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</si>
  <si>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</si>
  <si>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</si>
  <si>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</si>
  <si>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</si>
  <si>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</si>
  <si>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</si>
  <si>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</si>
  <si>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</si>
  <si>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</si>
  <si>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</si>
  <si>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</si>
  <si>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</si>
  <si>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</si>
  <si>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</si>
  <si>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</si>
  <si>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</si>
  <si>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</si>
  <si>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</si>
  <si>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</si>
  <si>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</si>
  <si>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</si>
  <si>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</si>
  <si>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</si>
  <si>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</si>
  <si>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</si>
  <si>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</si>
  <si>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</si>
  <si>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</si>
  <si>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</si>
  <si>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</si>
  <si>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</si>
  <si>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</si>
  <si>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</si>
  <si>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</si>
  <si>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</si>
  <si>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</si>
  <si>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</si>
  <si>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</si>
  <si>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</si>
  <si>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</si>
  <si>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</si>
  <si>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</si>
  <si>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</si>
  <si>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</si>
  <si>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</si>
  <si>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</si>
  <si>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</si>
  <si>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</si>
  <si>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</si>
  <si>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</si>
  <si>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</si>
  <si>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</si>
  <si>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</si>
  <si>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</si>
  <si>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</si>
  <si>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</si>
  <si>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</si>
  <si>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</si>
  <si>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</si>
  <si>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</si>
  <si>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</si>
  <si>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</si>
  <si>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</si>
  <si>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</si>
  <si>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</si>
  <si>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</si>
  <si>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</si>
  <si>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</si>
  <si>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</si>
  <si>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</si>
  <si>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</si>
  <si>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</si>
  <si>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</si>
  <si>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</si>
  <si>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</si>
  <si>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</si>
  <si>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</si>
  <si>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</si>
  <si>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</si>
  <si>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</si>
  <si>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</si>
  <si>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</si>
  <si>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</si>
  <si>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</si>
  <si>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</si>
  <si>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</si>
  <si>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</si>
  <si>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</si>
  <si>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</si>
  <si>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</si>
  <si>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</si>
  <si>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</si>
  <si>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</si>
  <si>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</si>
  <si>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</si>
  <si>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</si>
  <si>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</si>
  <si>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</si>
  <si>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</si>
  <si>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</si>
  <si>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</si>
  <si>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</si>
  <si>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</si>
  <si>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</si>
  <si>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</si>
  <si>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</si>
  <si>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</si>
  <si>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</si>
  <si>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</si>
  <si>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</si>
  <si>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</si>
  <si>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</si>
  <si>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</si>
  <si>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</si>
  <si>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</si>
  <si>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</si>
  <si>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</si>
  <si>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</si>
  <si>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</si>
  <si>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</si>
  <si>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</si>
  <si>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</si>
  <si>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</si>
  <si>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</si>
  <si>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</si>
  <si>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</si>
  <si>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</si>
  <si>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</si>
  <si>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</si>
  <si>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</si>
  <si>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</si>
  <si>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</si>
  <si>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</si>
  <si>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</si>
  <si>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</si>
  <si>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</si>
  <si>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</si>
  <si>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</si>
  <si>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</si>
  <si>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</si>
  <si>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</si>
  <si>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</si>
  <si>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</si>
  <si>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</si>
  <si>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</si>
  <si>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</si>
  <si>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</si>
  <si>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</si>
  <si>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</si>
  <si>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</si>
  <si>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</si>
  <si>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</si>
  <si>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</si>
  <si>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</si>
  <si>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</si>
  <si>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</si>
  <si>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</si>
  <si>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</si>
  <si>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</si>
  <si>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</si>
  <si>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</si>
  <si>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</si>
  <si>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</si>
  <si>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</si>
  <si>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</si>
  <si>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</si>
  <si>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</si>
  <si>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</si>
  <si>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</si>
  <si>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</si>
  <si>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</si>
  <si>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</si>
  <si>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</si>
  <si>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</si>
  <si>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</si>
  <si>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</si>
  <si>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</si>
  <si>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</si>
  <si>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</si>
  <si>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</si>
  <si>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</si>
  <si>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</si>
  <si>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</si>
  <si>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</si>
  <si>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</si>
  <si>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</si>
  <si>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</si>
  <si>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</si>
  <si>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</si>
  <si>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</si>
  <si>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</si>
  <si>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</si>
  <si>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</si>
  <si>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</si>
  <si>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</si>
  <si>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</si>
  <si>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</si>
  <si>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</si>
  <si>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</si>
  <si>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</si>
  <si>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</si>
  <si>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</si>
  <si>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</si>
  <si>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</si>
  <si>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</si>
  <si>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</si>
  <si>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</si>
  <si>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</si>
  <si>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</si>
  <si>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</si>
  <si>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</si>
  <si>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</si>
  <si>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</si>
  <si>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</si>
  <si>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</si>
  <si>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</si>
  <si>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</si>
  <si>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</si>
  <si>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</si>
  <si>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</si>
  <si>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</si>
  <si>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</si>
  <si>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</si>
  <si>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</si>
  <si>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</si>
  <si>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</si>
  <si>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</si>
  <si>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</si>
  <si>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</si>
  <si>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</si>
  <si>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</si>
  <si>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</si>
  <si>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</si>
  <si>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</si>
  <si>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</si>
  <si>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</si>
  <si>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</si>
  <si>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</si>
  <si>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</si>
  <si>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</si>
  <si>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</si>
  <si>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</si>
  <si>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</si>
  <si>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</si>
  <si>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</si>
  <si>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</si>
  <si>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</si>
  <si>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</si>
  <si>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</si>
  <si>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</si>
  <si>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</si>
  <si>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</si>
  <si>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</si>
  <si>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</si>
  <si>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</si>
  <si>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</si>
  <si>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</si>
  <si>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</si>
  <si>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</si>
  <si>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</si>
  <si>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</si>
  <si>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</si>
  <si>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</si>
  <si>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</si>
  <si>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</si>
  <si>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</si>
  <si>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</si>
  <si>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</si>
  <si>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</si>
  <si>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</si>
  <si>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</si>
  <si>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</si>
  <si>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</si>
  <si>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</si>
  <si>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</si>
  <si>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</si>
  <si>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</si>
  <si>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</si>
  <si>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</si>
  <si>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</si>
  <si>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</si>
  <si>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</si>
  <si>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</si>
  <si>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</si>
  <si>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</si>
  <si>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</si>
  <si>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</si>
  <si>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</si>
  <si>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</si>
  <si>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</si>
  <si>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</si>
  <si>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</si>
  <si>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</si>
  <si>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</si>
  <si>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</si>
  <si>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</si>
  <si>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</si>
  <si>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</si>
  <si>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</si>
  <si>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</si>
  <si>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</si>
  <si>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</si>
  <si>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</si>
  <si>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</si>
  <si>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</si>
  <si>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</si>
  <si>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</si>
  <si>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</si>
  <si>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</si>
  <si>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</si>
  <si>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</si>
  <si>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</si>
  <si>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</si>
  <si>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</si>
  <si>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</si>
  <si>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</si>
  <si>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</si>
  <si>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</si>
  <si>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</si>
  <si>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</si>
  <si>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</si>
  <si>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</si>
  <si>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</si>
  <si>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</si>
  <si>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</si>
  <si>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</si>
  <si>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</si>
  <si>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</si>
  <si>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</si>
  <si>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</si>
  <si>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</si>
  <si>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</si>
  <si>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</si>
  <si>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</si>
  <si>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</si>
  <si>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</si>
  <si>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</si>
  <si>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</si>
  <si>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</si>
  <si>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</si>
  <si>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</si>
  <si>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</si>
  <si>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</si>
  <si>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</si>
  <si>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</si>
  <si>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</si>
  <si>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</si>
  <si>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</si>
  <si>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</si>
  <si>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</si>
  <si>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</si>
  <si>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</si>
  <si>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</si>
  <si>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</si>
  <si>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</si>
  <si>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</si>
  <si>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</si>
  <si>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</si>
  <si>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</si>
  <si>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</si>
  <si>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</si>
  <si>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</si>
  <si>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</si>
  <si>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</si>
  <si>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</si>
  <si>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</si>
  <si>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</si>
  <si>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</si>
  <si>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</si>
  <si>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</si>
  <si>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</si>
  <si>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</si>
  <si>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</si>
  <si>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</si>
  <si>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</si>
  <si>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</si>
  <si>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</si>
  <si>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</si>
  <si>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</si>
  <si>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</si>
  <si>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</si>
  <si>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</si>
  <si>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</si>
  <si>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</si>
  <si>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</si>
  <si>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</si>
  <si>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</si>
  <si>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</si>
  <si>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</si>
  <si>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</si>
  <si>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</si>
  <si>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</si>
  <si>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</si>
  <si>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</si>
  <si>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</si>
  <si>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</si>
  <si>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</si>
  <si>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</si>
  <si>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</si>
  <si>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</si>
  <si>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</si>
  <si>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</si>
  <si>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</si>
  <si>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</si>
  <si>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</si>
  <si>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</si>
  <si>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</si>
  <si>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</si>
  <si>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</si>
  <si>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</si>
  <si>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</si>
  <si>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</si>
  <si>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</si>
  <si>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</si>
  <si>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</si>
  <si>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</si>
  <si>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</si>
  <si>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</si>
  <si>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</si>
  <si>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</si>
  <si>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</si>
  <si>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</si>
  <si>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</si>
  <si>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</si>
  <si>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</si>
  <si>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</si>
  <si>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</si>
  <si>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</si>
  <si>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</si>
  <si>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</si>
  <si>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</si>
  <si>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</si>
  <si>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</si>
  <si>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</si>
  <si>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</si>
  <si>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</si>
  <si>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</si>
  <si>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</si>
  <si>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</si>
  <si>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</si>
  <si>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</si>
  <si>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</si>
  <si>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</si>
  <si>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</si>
  <si>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</si>
  <si>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</si>
  <si>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</si>
  <si>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</si>
  <si>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</si>
  <si>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</si>
  <si>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</si>
  <si>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</si>
  <si>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</si>
  <si>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</si>
  <si>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</si>
  <si>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</si>
  <si>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</si>
  <si>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</si>
  <si>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</si>
  <si>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</si>
  <si>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</si>
  <si>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</si>
  <si>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</si>
  <si>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</si>
  <si>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</si>
  <si>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</si>
  <si>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</si>
  <si>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</si>
  <si>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</si>
  <si>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</si>
  <si>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</si>
  <si>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</si>
  <si>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</si>
  <si>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</si>
  <si>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</si>
  <si>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</si>
  <si>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</si>
  <si>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</si>
  <si>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</si>
  <si>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</si>
  <si>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</si>
  <si>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</si>
  <si>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</si>
  <si>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</si>
  <si>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</si>
  <si>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</si>
  <si>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</si>
  <si>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</si>
  <si>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</si>
  <si>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</si>
  <si>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</si>
  <si>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</si>
  <si>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</si>
  <si>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</si>
  <si>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</si>
  <si>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</si>
  <si>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</si>
  <si>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</si>
  <si>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</si>
  <si>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</si>
  <si>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</si>
  <si>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</si>
  <si>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</si>
  <si>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</si>
  <si>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</si>
  <si>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</si>
  <si>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</si>
  <si>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</si>
  <si>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</si>
  <si>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</si>
  <si>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</si>
  <si>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</si>
  <si>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</si>
  <si>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</si>
  <si>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</si>
  <si>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</si>
  <si>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</si>
  <si>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</si>
  <si>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</si>
  <si>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</si>
  <si>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</si>
  <si>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</si>
  <si>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</si>
  <si>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</si>
  <si>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</si>
  <si>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</si>
  <si>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</si>
  <si>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</si>
  <si>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</si>
  <si>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</si>
  <si>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</si>
  <si>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</si>
  <si>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</si>
  <si>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</si>
  <si>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</si>
  <si>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</si>
  <si>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</si>
  <si>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</si>
  <si>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</si>
  <si>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</si>
  <si>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</si>
  <si>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</si>
  <si>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</si>
  <si>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</si>
  <si>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</si>
  <si>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</si>
  <si>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</si>
  <si>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</si>
  <si>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</si>
  <si>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</si>
  <si>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</si>
  <si>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</si>
  <si>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</si>
  <si>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</si>
  <si>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</si>
  <si>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</si>
  <si>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</si>
  <si>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</si>
  <si>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</si>
  <si>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</si>
  <si>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</si>
  <si>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</si>
  <si>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</si>
  <si>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</si>
  <si>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</si>
  <si>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</si>
  <si>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</si>
  <si>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</si>
  <si>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</si>
  <si>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</si>
  <si>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</si>
  <si>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</si>
  <si>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</si>
  <si>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</si>
  <si>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</si>
  <si>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</si>
  <si>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</si>
  <si>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</si>
  <si>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</si>
  <si>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</si>
  <si>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</si>
  <si>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</si>
  <si>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</si>
  <si>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</si>
  <si>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</si>
  <si>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</si>
  <si>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</si>
  <si>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</si>
  <si>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</si>
  <si>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</si>
  <si>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</si>
  <si>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</si>
  <si>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</si>
  <si>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</si>
  <si>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</si>
  <si>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</si>
  <si>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</si>
  <si>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</si>
  <si>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</si>
  <si>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</si>
  <si>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</si>
  <si>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</si>
  <si>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</si>
  <si>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</si>
  <si>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</si>
  <si>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</si>
  <si>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</si>
  <si>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</si>
  <si>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</si>
  <si>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</si>
  <si>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</si>
  <si>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</si>
  <si>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</si>
  <si>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</si>
  <si>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</si>
  <si>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</si>
  <si>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</si>
  <si>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</si>
  <si>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</si>
  <si>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</si>
  <si>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</si>
  <si>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</si>
  <si>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</si>
  <si>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</si>
  <si>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</si>
  <si>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</si>
  <si>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</si>
  <si>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</si>
  <si>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</si>
  <si>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</si>
  <si>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</si>
  <si>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</si>
  <si>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</si>
  <si>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</si>
  <si>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</si>
  <si>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</si>
  <si>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</si>
  <si>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</si>
  <si>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</si>
  <si>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</si>
  <si>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</si>
  <si>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</si>
  <si>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</si>
  <si>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</si>
  <si>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</si>
  <si>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</si>
  <si>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</si>
  <si>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</si>
  <si>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</si>
  <si>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</si>
  <si>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</si>
  <si>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</si>
  <si>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</si>
  <si>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</si>
  <si>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</si>
  <si>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</si>
  <si>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</si>
  <si>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</si>
  <si>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</si>
  <si>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</si>
  <si>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</si>
  <si>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</si>
  <si>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</si>
  <si>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</si>
  <si>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</si>
  <si>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</si>
  <si>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</si>
  <si>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</si>
  <si>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</si>
  <si>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</si>
  <si>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</si>
  <si>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</si>
  <si>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</si>
  <si>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</si>
  <si>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</si>
  <si>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</si>
  <si>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</si>
  <si>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</si>
  <si>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</si>
  <si>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</si>
  <si>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</si>
  <si>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</si>
  <si>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</si>
  <si>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</si>
  <si>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</si>
  <si>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</si>
  <si>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</si>
  <si>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</si>
  <si>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</si>
  <si>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</si>
  <si>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</si>
  <si>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</si>
  <si>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</si>
  <si>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</si>
  <si>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</si>
  <si>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</si>
  <si>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</si>
  <si>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</si>
  <si>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</si>
  <si>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</si>
  <si>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</si>
  <si>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</si>
  <si>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</si>
  <si>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</si>
  <si>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</si>
  <si>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</si>
  <si>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</si>
  <si>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</si>
  <si>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</si>
  <si>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</si>
  <si>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</si>
  <si>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</si>
  <si>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</si>
  <si>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</si>
  <si>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</si>
  <si>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</si>
  <si>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</si>
  <si>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</si>
  <si>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</si>
  <si>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</si>
  <si>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</si>
  <si>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</si>
  <si>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</si>
  <si>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</si>
  <si>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</si>
  <si>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</si>
  <si>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</si>
  <si>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</si>
  <si>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</si>
  <si>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</si>
  <si>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</si>
  <si>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</si>
  <si>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</si>
  <si>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</si>
  <si>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</si>
  <si>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</si>
  <si>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</si>
  <si>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</si>
  <si>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</si>
  <si>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</si>
  <si>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</si>
  <si>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</si>
  <si>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</si>
  <si>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</si>
  <si>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</si>
  <si>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</si>
  <si>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</si>
  <si>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</si>
  <si>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</si>
  <si>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</si>
  <si>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</si>
  <si>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</si>
  <si>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</si>
  <si>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</si>
  <si>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</si>
  <si>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</si>
  <si>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</si>
  <si>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</si>
  <si>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</si>
  <si>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</si>
  <si>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</si>
  <si>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</si>
  <si>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</si>
  <si>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</si>
  <si>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</si>
  <si>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</si>
  <si>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</si>
  <si>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</si>
  <si>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</si>
  <si>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</si>
  <si>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</si>
  <si>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</si>
  <si>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</si>
  <si>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</si>
  <si>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</si>
  <si>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</si>
  <si>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</si>
  <si>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</si>
  <si>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</si>
  <si>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</si>
  <si>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</si>
  <si>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</si>
  <si>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</si>
  <si>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</si>
  <si>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</si>
  <si>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</si>
  <si>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</si>
  <si>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</si>
  <si>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</si>
  <si>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</si>
  <si>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</si>
  <si>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</si>
  <si>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</si>
  <si>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</si>
  <si>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</si>
  <si>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</si>
  <si>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</si>
  <si>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</si>
  <si>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</si>
  <si>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</si>
  <si>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</si>
  <si>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</si>
  <si>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</si>
  <si>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</si>
  <si>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</si>
  <si>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</si>
  <si>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</si>
  <si>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</si>
  <si>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</si>
  <si>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</si>
  <si>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</si>
  <si>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</si>
  <si>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</si>
  <si>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</si>
  <si>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</si>
  <si>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</si>
  <si>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</si>
  <si>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</si>
  <si>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</si>
  <si>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</si>
  <si>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</si>
  <si>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</si>
  <si>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</si>
  <si>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</si>
  <si>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</si>
  <si>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</si>
  <si>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</si>
  <si>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</si>
  <si>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</si>
  <si>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</si>
  <si>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</si>
  <si>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</si>
  <si>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</si>
  <si>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</si>
  <si>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</si>
  <si>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</si>
  <si>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</si>
  <si>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</si>
  <si>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</si>
  <si>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</si>
  <si>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</si>
  <si>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</si>
  <si>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</si>
  <si>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</si>
  <si>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</si>
  <si>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</si>
  <si>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</si>
  <si>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</si>
  <si>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</si>
  <si>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</si>
  <si>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</si>
  <si>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</si>
  <si>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</si>
  <si>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</si>
  <si>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</si>
  <si>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</si>
  <si>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</si>
  <si>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</si>
  <si>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</si>
  <si>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</si>
  <si>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</si>
  <si>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</si>
  <si>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</si>
  <si>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</si>
  <si>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</si>
  <si>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</si>
  <si>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</si>
  <si>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</si>
  <si>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</si>
  <si>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</si>
  <si>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</si>
  <si>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</si>
  <si>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</si>
  <si>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</si>
  <si>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</si>
  <si>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</si>
  <si>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</si>
  <si>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</si>
  <si>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</si>
  <si>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</si>
  <si>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</si>
  <si>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</si>
  <si>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</si>
  <si>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</si>
  <si>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</si>
  <si>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</si>
  <si>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</si>
  <si>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</si>
  <si>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</si>
  <si>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</si>
  <si>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</si>
  <si>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</si>
  <si>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</si>
  <si>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</si>
  <si>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</si>
  <si>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</si>
  <si>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</si>
  <si>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</si>
  <si>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</si>
  <si>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</si>
  <si>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</si>
  <si>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</si>
  <si>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</si>
  <si>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</si>
  <si>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</si>
  <si>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</si>
  <si>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</si>
  <si>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</si>
  <si>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</si>
  <si>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</si>
  <si>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</si>
  <si>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</si>
  <si>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</si>
  <si>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</si>
  <si>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</si>
  <si>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</si>
  <si>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</si>
  <si>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</si>
  <si>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</si>
  <si>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</si>
  <si>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</si>
  <si>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</si>
  <si>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</si>
  <si>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</si>
  <si>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</si>
  <si>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</si>
  <si>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</si>
  <si>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</si>
  <si>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</si>
  <si>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</si>
  <si>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</si>
  <si>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</si>
  <si>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</si>
  <si>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</si>
  <si>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</si>
  <si>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</si>
  <si>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</si>
  <si>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</si>
  <si>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</si>
  <si>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</si>
  <si>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</si>
  <si>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</si>
  <si>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</si>
  <si>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</si>
  <si>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</si>
  <si>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</si>
  <si>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</si>
  <si>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</si>
  <si>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</si>
  <si>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</si>
  <si>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</si>
  <si>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</si>
  <si>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</si>
  <si>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</si>
  <si>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</si>
  <si>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</si>
  <si>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</si>
  <si>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</si>
  <si>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</si>
  <si>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</si>
  <si>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</si>
  <si>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</si>
  <si>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</si>
  <si>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</si>
  <si>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</si>
  <si>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</si>
  <si>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</si>
  <si>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</si>
  <si>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</si>
  <si>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</si>
  <si>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</si>
  <si>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</si>
  <si>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</si>
  <si>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</si>
  <si>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</si>
  <si>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</si>
  <si>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</si>
  <si>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</si>
  <si>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</si>
  <si>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</si>
  <si>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</si>
  <si>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</si>
  <si>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</si>
  <si>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</si>
  <si>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</si>
  <si>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</si>
  <si>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</si>
  <si>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</si>
  <si>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</si>
  <si>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</si>
  <si>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</si>
  <si>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</si>
  <si>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</si>
  <si>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</si>
  <si>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</si>
  <si>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</si>
  <si>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</si>
  <si>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</si>
  <si>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</si>
  <si>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</si>
  <si>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</si>
  <si>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</si>
  <si>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</si>
  <si>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</si>
  <si>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</si>
  <si>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</si>
  <si>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</si>
  <si>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</si>
  <si>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</si>
  <si>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</si>
  <si>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</si>
  <si>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</si>
  <si>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</si>
  <si>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</si>
  <si>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</si>
  <si>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</si>
  <si>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</si>
  <si>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</si>
  <si>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</si>
  <si>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</si>
  <si>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</si>
  <si>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</si>
  <si>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</si>
  <si>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</si>
  <si>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</si>
  <si>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</si>
  <si>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</si>
  <si>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</si>
  <si>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</si>
  <si>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</si>
  <si>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</si>
  <si>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</si>
  <si>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</si>
  <si>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</si>
  <si>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</si>
  <si>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</si>
  <si>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</si>
  <si>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</si>
  <si>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</si>
  <si>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</si>
  <si>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</si>
  <si>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</si>
  <si>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</si>
  <si>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</si>
  <si>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</si>
  <si>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</si>
  <si>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</si>
  <si>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</si>
  <si>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</si>
  <si>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</si>
  <si>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</si>
  <si>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</si>
  <si>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</si>
  <si>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</si>
  <si>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</si>
  <si>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</si>
  <si>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</si>
  <si>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</si>
  <si>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</si>
  <si>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</si>
  <si>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</si>
  <si>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</si>
  <si>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</si>
  <si>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</si>
  <si>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</si>
  <si>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</si>
  <si>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</si>
  <si>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</si>
  <si>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</si>
  <si>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</si>
  <si>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</si>
  <si>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</si>
  <si>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</si>
  <si>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</si>
  <si>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</si>
  <si>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</si>
  <si>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</si>
  <si>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</si>
  <si>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</si>
  <si>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</si>
  <si>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</si>
  <si>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</si>
  <si>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</si>
  <si>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</si>
  <si>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</si>
  <si>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</si>
  <si>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</si>
  <si>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</si>
  <si>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</si>
  <si>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</si>
  <si>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</si>
  <si>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</si>
  <si>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</si>
  <si>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</si>
  <si>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</si>
  <si>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</si>
  <si>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</si>
  <si>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</si>
  <si>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</si>
  <si>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</si>
  <si>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</si>
  <si>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</si>
  <si>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</si>
  <si>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</si>
  <si>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</si>
  <si>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</si>
  <si>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</si>
  <si>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</si>
  <si>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</si>
  <si>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</si>
  <si>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</si>
  <si>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</si>
  <si>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</si>
  <si>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</si>
  <si>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</si>
  <si>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</si>
  <si>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</si>
  <si>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</si>
  <si>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</si>
  <si>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</si>
  <si>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</si>
  <si>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</si>
  <si>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</si>
  <si>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</si>
  <si>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</si>
  <si>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</si>
  <si>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</si>
  <si>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</si>
  <si>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</si>
  <si>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</si>
  <si>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</si>
  <si>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</si>
  <si>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</si>
  <si>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</si>
  <si>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</si>
  <si>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</si>
  <si>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</si>
  <si>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</si>
  <si>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</si>
  <si>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</si>
  <si>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</si>
  <si>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</si>
  <si>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</si>
  <si>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</si>
  <si>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</si>
  <si>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</si>
  <si>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</si>
  <si>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</si>
  <si>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</si>
  <si>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</si>
  <si>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</si>
  <si>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</si>
  <si>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</si>
  <si>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</si>
  <si>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</si>
  <si>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</si>
  <si>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</si>
  <si>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</si>
  <si>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</si>
  <si>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</si>
  <si>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</si>
  <si>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</si>
  <si>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</si>
  <si>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</si>
  <si>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</si>
  <si>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</si>
  <si>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</si>
  <si>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</si>
  <si>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</si>
  <si>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</si>
  <si>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</si>
  <si>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</si>
  <si>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</si>
  <si>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</si>
  <si>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</si>
  <si>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</si>
  <si>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</si>
  <si>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</si>
  <si>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</si>
  <si>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</si>
  <si>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</si>
  <si>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</si>
  <si>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</si>
  <si>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</si>
  <si>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</si>
  <si>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</si>
  <si>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</si>
  <si>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</si>
  <si>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</si>
  <si>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</si>
  <si>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</si>
  <si>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</si>
  <si>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</si>
  <si>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</si>
  <si>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</si>
  <si>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</si>
  <si>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</si>
  <si>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</si>
  <si>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</si>
  <si>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</si>
  <si>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</si>
  <si>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</si>
  <si>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</si>
  <si>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</si>
  <si>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</si>
  <si>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</si>
  <si>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</si>
  <si>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</si>
  <si>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</si>
  <si>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</si>
  <si>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</si>
  <si>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</si>
  <si>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</si>
  <si>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</si>
  <si>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</si>
  <si>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</si>
  <si>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</si>
  <si>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</si>
  <si>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</si>
  <si>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</si>
  <si>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</si>
  <si>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</si>
  <si>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</si>
  <si>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</si>
  <si>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</si>
  <si>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</si>
  <si>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</si>
  <si>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</si>
  <si>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</si>
  <si>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</si>
  <si>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</si>
  <si>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</si>
  <si>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</si>
  <si>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</si>
  <si>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</si>
  <si>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</si>
  <si>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</si>
  <si>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</si>
  <si>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</si>
  <si>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</si>
  <si>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</si>
  <si>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</si>
  <si>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</si>
  <si>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</si>
  <si>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</si>
  <si>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</si>
  <si>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</si>
  <si>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</si>
  <si>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</si>
  <si>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</si>
  <si>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</si>
  <si>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</si>
  <si>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</si>
  <si>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</si>
  <si>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</si>
  <si>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</si>
  <si>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</si>
  <si>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</si>
  <si>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</si>
  <si>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</si>
  <si>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</si>
  <si>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</si>
  <si>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</si>
  <si>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</si>
  <si>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</si>
  <si>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</si>
  <si>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</si>
  <si>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</si>
  <si>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</si>
  <si>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</si>
  <si>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</si>
  <si>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</si>
  <si>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</si>
  <si>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</si>
  <si>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</si>
  <si>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</si>
  <si>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</si>
  <si>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</si>
  <si>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</si>
  <si>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</si>
  <si>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</si>
  <si>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</si>
  <si>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</si>
  <si>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</si>
  <si>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</si>
  <si>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</si>
  <si>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</si>
  <si>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</si>
  <si>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</si>
  <si>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</si>
  <si>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</si>
  <si>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</si>
  <si>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</si>
  <si>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</si>
  <si>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</si>
  <si>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</si>
  <si>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</si>
  <si>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</si>
  <si>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</si>
  <si>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</si>
  <si>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</si>
  <si>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</si>
  <si>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</si>
  <si>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</si>
  <si>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</si>
  <si>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</si>
  <si>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</si>
  <si>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</si>
  <si>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</si>
  <si>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</si>
  <si>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</si>
  <si>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</si>
  <si>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</si>
  <si>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</si>
  <si>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</si>
  <si>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</si>
  <si>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</si>
  <si>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</si>
  <si>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</si>
  <si>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</si>
  <si>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</si>
  <si>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</si>
  <si>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</si>
  <si>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</si>
  <si>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</si>
  <si>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</si>
  <si>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</si>
  <si>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</si>
  <si>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</si>
  <si>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</si>
  <si>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</si>
  <si>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</si>
  <si>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</si>
  <si>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</si>
  <si>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</si>
  <si>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</si>
  <si>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</si>
  <si>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</si>
  <si>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</si>
  <si>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</si>
  <si>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</si>
  <si>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</si>
  <si>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</si>
  <si>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</si>
  <si>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</si>
  <si>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</si>
  <si>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</si>
  <si>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</si>
  <si>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</si>
  <si>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</si>
  <si>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</si>
  <si>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</si>
  <si>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</si>
  <si>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</si>
  <si>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</si>
  <si>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</si>
  <si>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</si>
  <si>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</si>
  <si>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</si>
  <si>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</si>
  <si>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</si>
  <si>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</si>
  <si>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</si>
  <si>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</si>
  <si>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</si>
  <si>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</si>
  <si>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</si>
  <si>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</si>
  <si>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</si>
  <si>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</si>
  <si>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</si>
  <si>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</si>
  <si>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</si>
  <si>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</si>
  <si>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</si>
  <si>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</si>
  <si>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</si>
  <si>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</si>
  <si>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</si>
  <si>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</si>
  <si>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</si>
  <si>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</si>
  <si>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</si>
  <si>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</si>
  <si>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</si>
  <si>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</si>
  <si>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</si>
  <si>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</si>
  <si>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</si>
  <si>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</si>
  <si>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</si>
  <si>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</si>
  <si>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</si>
  <si>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</si>
  <si>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</si>
  <si>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</si>
  <si>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</si>
  <si>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</si>
  <si>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</si>
  <si>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</si>
  <si>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</si>
  <si>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</si>
  <si>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</si>
  <si>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</si>
  <si>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</si>
  <si>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</si>
  <si>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</si>
  <si>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</si>
  <si>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</si>
  <si>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</si>
  <si>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</si>
  <si>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</si>
  <si>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</si>
  <si>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</si>
  <si>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</si>
  <si>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</si>
  <si>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</si>
  <si>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</si>
  <si>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</si>
  <si>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</si>
  <si>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</si>
  <si>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</si>
  <si>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</si>
  <si>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</si>
  <si>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</si>
  <si>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</si>
  <si>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</si>
  <si>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</si>
  <si>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</si>
  <si>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</si>
  <si>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</si>
  <si>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</si>
  <si>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</si>
  <si>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</si>
  <si>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</si>
  <si>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</si>
  <si>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</si>
  <si>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</si>
  <si>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</si>
  <si>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</si>
  <si>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</si>
  <si>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</si>
  <si>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</si>
  <si>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</si>
  <si>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</si>
  <si>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</si>
  <si>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</si>
  <si>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</si>
  <si>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</si>
  <si>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</si>
  <si>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</si>
  <si>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</si>
  <si>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</si>
  <si>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</si>
  <si>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</si>
  <si>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</si>
  <si>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</si>
  <si>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</si>
  <si>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</si>
  <si>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</si>
  <si>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</si>
  <si>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</si>
  <si>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</si>
  <si>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</si>
  <si>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</si>
  <si>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</si>
  <si>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</si>
  <si>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</si>
  <si>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</si>
  <si>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</si>
  <si>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</si>
  <si>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</si>
  <si>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</si>
  <si>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</si>
  <si>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</si>
  <si>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</si>
  <si>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</si>
  <si>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</si>
  <si>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</si>
  <si>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</si>
  <si>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</si>
  <si>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</si>
  <si>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</si>
  <si>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</si>
  <si>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</si>
  <si>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</si>
  <si>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</si>
  <si>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</si>
  <si>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</si>
  <si>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</si>
  <si>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</si>
  <si>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</si>
  <si>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</si>
  <si>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</si>
  <si>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</si>
  <si>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</si>
  <si>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</si>
  <si>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</si>
  <si>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</si>
  <si>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</si>
  <si>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</si>
  <si>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</si>
  <si>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</si>
  <si>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</si>
  <si>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</si>
  <si>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</si>
  <si>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</si>
  <si>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</si>
  <si>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</si>
  <si>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</si>
  <si>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</si>
  <si>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</si>
  <si>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</si>
  <si>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</si>
  <si>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</si>
  <si>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</si>
  <si>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</si>
  <si>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</si>
  <si>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</si>
  <si>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</si>
  <si>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</si>
  <si>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</si>
  <si>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</si>
  <si>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</si>
  <si>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</si>
  <si>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</si>
  <si>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</si>
  <si>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</si>
  <si>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</si>
  <si>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</si>
  <si>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</si>
  <si>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</si>
  <si>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</si>
  <si>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</si>
  <si>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</si>
  <si>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</si>
  <si>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</si>
  <si>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</si>
  <si>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</si>
  <si>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</si>
  <si>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</si>
  <si>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</si>
  <si>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</si>
  <si>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</si>
  <si>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</si>
  <si>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</si>
  <si>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</si>
  <si>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</si>
  <si>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</si>
  <si>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</si>
  <si>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</si>
  <si>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</si>
  <si>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</si>
  <si>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</si>
  <si>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</si>
  <si>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</si>
  <si>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</si>
  <si>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</si>
  <si>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</si>
  <si>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</si>
  <si>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</si>
  <si>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</si>
  <si>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</si>
  <si>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</si>
  <si>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</si>
  <si>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</si>
  <si>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</si>
  <si>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</si>
  <si>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</si>
  <si>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</si>
  <si>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</si>
  <si>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</si>
  <si>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</si>
  <si>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</si>
  <si>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</si>
  <si>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</si>
  <si>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</si>
  <si>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</si>
  <si>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</si>
  <si>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</si>
  <si>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</si>
  <si>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</si>
  <si>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</si>
  <si>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</si>
  <si>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</si>
  <si>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</si>
  <si>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</si>
  <si>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</si>
  <si>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</si>
  <si>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</si>
  <si>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</si>
  <si>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</si>
  <si>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</si>
  <si>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</si>
  <si>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</si>
  <si>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</si>
  <si>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</si>
  <si>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</si>
  <si>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</si>
  <si>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</si>
  <si>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</si>
  <si>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</si>
  <si>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</si>
  <si>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</si>
  <si>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</si>
  <si>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</si>
  <si>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</si>
  <si>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</si>
  <si>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</si>
  <si>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</si>
  <si>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</si>
  <si>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</si>
  <si>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</si>
  <si>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</si>
  <si>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</si>
  <si>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</si>
  <si>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</si>
  <si>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</si>
  <si>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</si>
  <si>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</si>
  <si>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</si>
  <si>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</si>
  <si>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</si>
  <si>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</si>
  <si>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</si>
  <si>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</si>
  <si>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</si>
  <si>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</si>
  <si>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</si>
  <si>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</si>
  <si>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</si>
  <si>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</si>
  <si>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</si>
  <si>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</si>
  <si>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</si>
  <si>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</si>
  <si>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</si>
  <si>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</si>
  <si>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</si>
  <si>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</si>
  <si>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</si>
  <si>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</si>
  <si>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</si>
  <si>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</si>
  <si>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</si>
  <si>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</si>
  <si>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</si>
  <si>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</si>
  <si>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</si>
  <si>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</si>
  <si>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</si>
  <si>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</si>
  <si>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</si>
  <si>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</si>
  <si>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</si>
  <si>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</si>
  <si>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</si>
  <si>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</si>
  <si>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</si>
  <si>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</si>
  <si>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</si>
  <si>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</si>
  <si>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</si>
  <si>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</si>
  <si>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</si>
  <si>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</si>
  <si>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</si>
  <si>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</si>
  <si>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</si>
  <si>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</si>
  <si>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</si>
  <si>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</si>
  <si>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</si>
  <si>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</si>
  <si>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</si>
  <si>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</si>
  <si>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</si>
  <si>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</si>
  <si>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</si>
  <si>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</si>
  <si>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</si>
  <si>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</si>
  <si>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</si>
  <si>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</si>
  <si>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</si>
  <si>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</si>
  <si>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</si>
  <si>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</si>
  <si>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</si>
  <si>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</si>
  <si>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</si>
  <si>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</si>
  <si>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</si>
  <si>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</si>
  <si>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</si>
  <si>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</si>
  <si>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</si>
  <si>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</si>
  <si>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</si>
  <si>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</si>
  <si>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</si>
  <si>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</si>
  <si>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</si>
  <si>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</si>
  <si>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</si>
  <si>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</si>
  <si>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</si>
  <si>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</si>
  <si>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</si>
  <si>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</si>
  <si>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</si>
  <si>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</si>
  <si>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</si>
  <si>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</si>
  <si>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</si>
  <si>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</si>
  <si>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</si>
  <si>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</si>
  <si>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</si>
  <si>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</si>
  <si>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</si>
  <si>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</si>
  <si>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</si>
  <si>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</si>
  <si>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</si>
  <si>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</si>
  <si>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</si>
  <si>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</si>
  <si>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</si>
  <si>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</si>
  <si>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</si>
  <si>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</si>
  <si>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</si>
  <si>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</si>
  <si>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</si>
  <si>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</si>
  <si>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</si>
  <si>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</si>
  <si>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</si>
  <si>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</si>
  <si>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</si>
  <si>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</si>
  <si>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</si>
  <si>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</si>
  <si>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</si>
  <si>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</si>
  <si>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</si>
  <si>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</si>
  <si>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</si>
  <si>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</si>
  <si>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</si>
  <si>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</si>
  <si>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</si>
  <si>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</si>
  <si>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</si>
  <si>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</si>
  <si>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</si>
  <si>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</si>
  <si>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</si>
  <si>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</si>
  <si>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</si>
  <si>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</si>
  <si>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</si>
  <si>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</si>
  <si>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</si>
  <si>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</si>
  <si>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</si>
  <si>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</si>
  <si>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</si>
  <si>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</si>
  <si>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</si>
  <si>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</si>
  <si>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</si>
  <si>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</si>
  <si>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</si>
  <si>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</si>
  <si>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</si>
  <si>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</si>
  <si>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</si>
  <si>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</si>
  <si>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</si>
  <si>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</si>
  <si>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</si>
  <si>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</si>
  <si>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</si>
  <si>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</si>
  <si>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</si>
  <si>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</si>
  <si>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</si>
  <si>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</si>
  <si>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</si>
  <si>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</si>
  <si>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</si>
  <si>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</si>
  <si>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</si>
  <si>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</si>
  <si>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</si>
  <si>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</si>
  <si>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</si>
  <si>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</si>
  <si>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</si>
  <si>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</si>
  <si>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</si>
  <si>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</si>
  <si>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</si>
  <si>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</si>
  <si>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</si>
  <si>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</si>
  <si>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</si>
  <si>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</si>
  <si>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</si>
  <si>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</si>
  <si>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</si>
  <si>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</si>
  <si>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</si>
  <si>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</si>
  <si>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</si>
  <si>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</si>
  <si>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</si>
  <si>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</si>
  <si>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</si>
  <si>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</si>
  <si>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</si>
  <si>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</si>
  <si>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</si>
  <si>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</si>
  <si>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</si>
  <si>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</si>
  <si>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</si>
  <si>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</si>
  <si>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</si>
  <si>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</si>
  <si>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</si>
  <si>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</si>
  <si>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</si>
  <si>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</si>
  <si>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</si>
  <si>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</si>
  <si>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</si>
  <si>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</si>
  <si>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</si>
  <si>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</si>
  <si>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</si>
  <si>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</si>
  <si>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</si>
  <si>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</si>
  <si>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</si>
  <si>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</si>
  <si>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</si>
  <si>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</si>
  <si>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</si>
  <si>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</si>
  <si>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</si>
  <si>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</si>
  <si>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</si>
  <si>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</si>
  <si>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</si>
  <si>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</si>
  <si>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</si>
  <si>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</si>
  <si>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</si>
  <si>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</si>
  <si>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</si>
  <si>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</si>
  <si>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</si>
  <si>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</si>
  <si>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</si>
  <si>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</si>
  <si>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</si>
  <si>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</si>
  <si>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</si>
  <si>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</si>
  <si>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</si>
  <si>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</si>
  <si>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</si>
  <si>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</si>
  <si>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</si>
  <si>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</si>
  <si>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</si>
  <si>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</si>
  <si>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</si>
  <si>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</si>
  <si>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</si>
  <si>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</si>
  <si>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</si>
  <si>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</si>
  <si>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</si>
  <si>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</si>
  <si>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</si>
  <si>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</si>
  <si>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</si>
  <si>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</si>
  <si>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</si>
  <si>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</si>
  <si>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</si>
  <si>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</si>
  <si>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</si>
  <si>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</si>
  <si>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</si>
  <si>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</si>
  <si>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</si>
  <si>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</si>
  <si>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</si>
  <si>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</si>
  <si>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</si>
  <si>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</si>
  <si>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</si>
  <si>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</si>
  <si>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</si>
  <si>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</si>
  <si>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</si>
  <si>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</si>
  <si>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</si>
  <si>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</si>
  <si>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</si>
  <si>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</si>
  <si>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</si>
  <si>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</si>
  <si>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</si>
  <si>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</si>
  <si>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</si>
  <si>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</si>
  <si>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</si>
  <si>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</si>
  <si>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</si>
  <si>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</si>
  <si>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</si>
  <si>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</si>
  <si>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</si>
  <si>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</si>
  <si>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</si>
  <si>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</si>
  <si>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</si>
  <si>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</si>
  <si>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</si>
  <si>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</si>
  <si>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</si>
  <si>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</si>
  <si>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</si>
  <si>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</si>
  <si>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</si>
  <si>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</si>
  <si>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</si>
  <si>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</si>
  <si>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</si>
  <si>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</si>
  <si>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</si>
  <si>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</si>
  <si>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</si>
  <si>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</si>
  <si>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</si>
  <si>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</si>
  <si>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</si>
  <si>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</si>
  <si>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</si>
  <si>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</si>
  <si>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</si>
  <si>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</si>
  <si>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</si>
  <si>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</si>
  <si>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</si>
  <si>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</si>
  <si>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</si>
  <si>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</si>
  <si>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</si>
  <si>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</si>
  <si>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</si>
  <si>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</si>
  <si>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</si>
  <si>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</si>
  <si>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</si>
  <si>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</si>
  <si>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</si>
  <si>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</si>
  <si>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</si>
  <si>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</si>
  <si>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</si>
  <si>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</si>
  <si>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</si>
  <si>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</si>
  <si>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</si>
  <si>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</si>
  <si>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</si>
  <si>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</si>
  <si>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</si>
  <si>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</si>
  <si>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</si>
  <si>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</si>
  <si>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</si>
  <si>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</si>
  <si>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</si>
  <si>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</si>
  <si>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</si>
  <si>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</si>
  <si>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</si>
  <si>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</si>
  <si>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</si>
  <si>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</si>
  <si>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</si>
  <si>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</si>
  <si>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</si>
  <si>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</si>
  <si>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</si>
  <si>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</si>
  <si>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</si>
  <si>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</si>
  <si>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</si>
  <si>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</si>
  <si>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</si>
  <si>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</si>
  <si>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</si>
  <si>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</si>
  <si>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</si>
  <si>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</si>
  <si>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</si>
  <si>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</si>
  <si>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</si>
  <si>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</si>
  <si>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</si>
  <si>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</si>
  <si>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</si>
  <si>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</si>
  <si>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</si>
  <si>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</si>
  <si>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</si>
  <si>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</si>
  <si>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</si>
  <si>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</si>
  <si>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</si>
  <si>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</si>
  <si>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</si>
  <si>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</si>
  <si>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</si>
  <si>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</si>
  <si>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</si>
  <si>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</si>
  <si>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</si>
  <si>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</si>
  <si>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</si>
  <si>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</si>
  <si>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</si>
  <si>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</si>
  <si>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</si>
  <si>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</si>
  <si>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</si>
  <si>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</si>
  <si>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</si>
  <si>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</si>
  <si>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</si>
  <si>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</si>
  <si>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</si>
  <si>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</si>
  <si>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</si>
  <si>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</si>
  <si>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</si>
  <si>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</si>
  <si>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</si>
  <si>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</si>
  <si>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</si>
  <si>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</si>
  <si>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</si>
  <si>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</si>
  <si>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</si>
  <si>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</si>
  <si>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</si>
  <si>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</si>
  <si>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</si>
  <si>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</si>
  <si>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</si>
  <si>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</si>
  <si>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</si>
  <si>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</si>
  <si>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</si>
  <si>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</si>
  <si>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</si>
  <si>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</si>
  <si>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</si>
  <si>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</si>
  <si>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</si>
  <si>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</si>
  <si>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</si>
  <si>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</si>
  <si>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</si>
  <si>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</si>
  <si>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</si>
  <si>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</si>
  <si>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</si>
  <si>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</si>
  <si>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</si>
  <si>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</si>
  <si>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</si>
  <si>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</si>
  <si>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</si>
  <si>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</si>
  <si>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</si>
  <si>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</si>
  <si>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</si>
  <si>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</si>
  <si>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</si>
  <si>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</si>
  <si>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</si>
  <si>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</si>
  <si>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</si>
  <si>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</si>
  <si>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</si>
  <si>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</si>
  <si>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</si>
  <si>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</si>
  <si>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</si>
  <si>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</si>
  <si>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</si>
  <si>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</si>
  <si>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</si>
  <si>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</si>
  <si>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</si>
  <si>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</si>
  <si>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</si>
  <si>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</si>
  <si>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</si>
  <si>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</si>
  <si>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</si>
  <si>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</si>
  <si>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</si>
  <si>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</si>
  <si>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</si>
  <si>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</si>
  <si>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</si>
  <si>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</si>
  <si>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</si>
  <si>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</si>
  <si>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</si>
  <si>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</si>
  <si>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</si>
  <si>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</si>
  <si>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</si>
  <si>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</si>
  <si>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</si>
  <si>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</si>
  <si>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</si>
  <si>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</si>
  <si>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</si>
  <si>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</si>
  <si>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</si>
  <si>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</si>
  <si>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</si>
  <si>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</si>
  <si>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</si>
  <si>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</si>
  <si>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</si>
  <si>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</si>
  <si>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</si>
  <si>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</si>
  <si>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</si>
  <si>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</si>
  <si>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</si>
  <si>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</si>
  <si>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</si>
  <si>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</si>
  <si>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</si>
  <si>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</si>
  <si>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</si>
  <si>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</si>
  <si>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</si>
  <si>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</si>
  <si>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</si>
  <si>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</si>
  <si>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</si>
  <si>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</si>
  <si>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</si>
  <si>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</si>
  <si>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</si>
  <si>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</si>
  <si>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</si>
  <si>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</si>
  <si>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</si>
  <si>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</si>
  <si>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</si>
  <si>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</si>
  <si>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</si>
  <si>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</si>
  <si>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</si>
  <si>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</si>
  <si>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</si>
  <si>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</si>
  <si>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</si>
  <si>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</si>
  <si>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</si>
  <si>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</si>
  <si>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</si>
  <si>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</si>
  <si>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</si>
  <si>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</si>
  <si>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</si>
  <si>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</si>
  <si>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</si>
  <si>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</si>
  <si>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</si>
  <si>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</si>
  <si>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</si>
  <si>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</si>
  <si>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</si>
  <si>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</si>
  <si>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</si>
  <si>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</si>
  <si>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</si>
  <si>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</si>
  <si>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</si>
  <si>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</si>
  <si>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</si>
  <si>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</si>
  <si>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</si>
  <si>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</si>
  <si>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</si>
  <si>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</si>
  <si>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</si>
  <si>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</si>
  <si>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</si>
  <si>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</si>
  <si>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</si>
  <si>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</si>
  <si>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</si>
  <si>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</si>
  <si>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</si>
  <si>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</si>
  <si>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</si>
  <si>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</si>
  <si>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</si>
  <si>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</si>
  <si>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</si>
  <si>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</si>
  <si>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</si>
  <si>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</si>
  <si>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</si>
  <si>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</si>
  <si>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</si>
  <si>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</si>
  <si>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</si>
  <si>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</si>
  <si>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</si>
  <si>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</si>
  <si>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</si>
  <si>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</si>
  <si>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</si>
  <si>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</si>
  <si>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</si>
  <si>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</si>
  <si>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</si>
  <si>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</si>
  <si>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</si>
  <si>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</si>
  <si>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</si>
  <si>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</si>
  <si>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</si>
  <si>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</si>
  <si>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</si>
  <si>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</si>
  <si>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</si>
  <si>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</si>
  <si>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</si>
  <si>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</si>
  <si>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</si>
  <si>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</si>
  <si>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</si>
  <si>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</si>
  <si>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</si>
  <si>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</si>
  <si>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</si>
  <si>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</si>
  <si>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</si>
  <si>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</si>
  <si>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</si>
  <si>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</si>
  <si>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</si>
  <si>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</si>
  <si>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</si>
  <si>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</si>
  <si>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</si>
  <si>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</si>
  <si>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</si>
  <si>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</si>
  <si>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</si>
  <si>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</si>
  <si>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</si>
  <si>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</si>
  <si>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</si>
  <si>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</si>
  <si>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</si>
  <si>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</si>
  <si>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</si>
  <si>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</si>
  <si>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</si>
  <si>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</si>
  <si>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</si>
  <si>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</si>
  <si>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</si>
  <si>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</si>
  <si>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</si>
  <si>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</si>
  <si>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</si>
  <si>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</si>
  <si>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</si>
  <si>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</si>
  <si>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</si>
  <si>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</si>
  <si>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</si>
  <si>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</si>
  <si>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</si>
  <si>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</si>
  <si>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</si>
  <si>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</si>
  <si>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</si>
  <si>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</si>
  <si>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</si>
  <si>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</si>
  <si>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</si>
  <si>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</si>
  <si>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</si>
  <si>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</si>
  <si>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</si>
  <si>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</si>
  <si>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</si>
  <si>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</si>
  <si>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</si>
  <si>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</si>
  <si>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</si>
  <si>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</si>
  <si>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</si>
  <si>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</si>
  <si>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</si>
  <si>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</si>
  <si>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</si>
  <si>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</si>
  <si>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</si>
  <si>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</si>
  <si>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</si>
  <si>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</si>
  <si>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</si>
  <si>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</si>
  <si>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</si>
  <si>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</si>
  <si>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</si>
  <si>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</si>
  <si>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</si>
  <si>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</si>
  <si>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</si>
  <si>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</si>
  <si>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</si>
  <si>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</si>
  <si>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</si>
  <si>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</si>
  <si>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</si>
  <si>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</si>
  <si>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</si>
  <si>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</si>
  <si>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</si>
  <si>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</si>
  <si>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</si>
  <si>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</si>
  <si>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</si>
  <si>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</si>
  <si>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</si>
  <si>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</si>
  <si>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</si>
  <si>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</si>
  <si>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</si>
  <si>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</si>
  <si>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</si>
  <si>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</si>
  <si>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</si>
  <si>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</si>
  <si>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</si>
  <si>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</si>
  <si>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</si>
  <si>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</si>
  <si>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</si>
  <si>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</si>
  <si>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</si>
  <si>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</si>
  <si>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</si>
  <si>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</si>
  <si>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</si>
  <si>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</si>
  <si>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</si>
  <si>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</si>
  <si>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</si>
  <si>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</si>
  <si>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</si>
  <si>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</si>
  <si>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</si>
  <si>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</si>
  <si>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</si>
  <si>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</si>
  <si>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</si>
  <si>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</si>
  <si>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</si>
  <si>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</si>
  <si>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</si>
  <si>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</si>
  <si>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</si>
  <si>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</si>
  <si>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</si>
  <si>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</si>
  <si>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</si>
  <si>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</si>
  <si>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</si>
  <si>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</si>
  <si>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</si>
  <si>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</si>
  <si>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</si>
  <si>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</si>
  <si>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</si>
  <si>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</si>
  <si>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</si>
  <si>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</si>
  <si>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</si>
  <si>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</si>
  <si>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</si>
  <si>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</si>
  <si>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</si>
  <si>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</si>
  <si>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</si>
  <si>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</si>
  <si>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</si>
  <si>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</si>
  <si>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</si>
  <si>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</si>
  <si>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</si>
  <si>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</si>
  <si>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</si>
  <si>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</si>
  <si>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</si>
  <si>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</si>
  <si>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</si>
  <si>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</si>
  <si>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</si>
  <si>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</si>
  <si>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</si>
  <si>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</si>
  <si>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</si>
  <si>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</si>
  <si>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</si>
  <si>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</si>
  <si>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</si>
  <si>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</si>
  <si>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</si>
  <si>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</si>
  <si>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</si>
  <si>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</si>
  <si>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</si>
  <si>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</si>
  <si>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</si>
  <si>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</si>
  <si>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</si>
  <si>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</si>
  <si>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</si>
  <si>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</si>
  <si>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</si>
  <si>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</si>
  <si>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</si>
  <si>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</si>
  <si>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</si>
  <si>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</si>
  <si>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</si>
  <si>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</si>
  <si>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</si>
  <si>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</si>
  <si>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</si>
  <si>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</si>
  <si>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</si>
  <si>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</si>
  <si>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</si>
  <si>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</si>
  <si>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</si>
  <si>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</si>
  <si>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</si>
  <si>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</si>
  <si>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</si>
  <si>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</si>
  <si>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</si>
  <si>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</si>
  <si>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</si>
  <si>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</si>
  <si>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</si>
  <si>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</si>
  <si>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</si>
  <si>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</si>
  <si>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</si>
  <si>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</si>
  <si>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</si>
  <si>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</si>
  <si>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</si>
  <si>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</si>
  <si>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</si>
  <si>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</si>
  <si>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</si>
  <si>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</si>
  <si>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</si>
  <si>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</si>
  <si>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</si>
  <si>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</si>
  <si>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</si>
  <si>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</si>
  <si>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</si>
  <si>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</si>
  <si>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</si>
  <si>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</si>
  <si>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</si>
  <si>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</si>
  <si>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</si>
  <si>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</si>
  <si>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</si>
  <si>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</si>
  <si>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</si>
  <si>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</si>
  <si>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</si>
  <si>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</si>
  <si>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</si>
  <si>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</si>
  <si>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</si>
  <si>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</si>
  <si>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</si>
  <si>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</si>
  <si>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</si>
  <si>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</si>
  <si>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</si>
  <si>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</si>
  <si>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</si>
  <si>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</si>
  <si>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</si>
  <si>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</si>
  <si>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</si>
  <si>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</si>
  <si>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</si>
  <si>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</si>
  <si>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</si>
  <si>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</si>
  <si>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</si>
  <si>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</si>
  <si>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</si>
  <si>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</si>
  <si>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</si>
  <si>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</si>
  <si>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</si>
  <si>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</si>
  <si>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</si>
  <si>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</si>
  <si>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</si>
  <si>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</si>
  <si>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</si>
  <si>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</si>
  <si>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</si>
  <si>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</si>
  <si>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</si>
  <si>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</si>
  <si>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</si>
  <si>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</si>
  <si>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</si>
  <si>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</si>
  <si>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</si>
  <si>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</si>
  <si>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</si>
  <si>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</si>
  <si>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</si>
  <si>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</si>
  <si>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</si>
  <si>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</si>
  <si>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</si>
  <si>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</si>
  <si>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</si>
  <si>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</si>
  <si>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</si>
  <si>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</si>
  <si>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</si>
  <si>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</si>
  <si>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</si>
  <si>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</si>
  <si>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</si>
  <si>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</si>
  <si>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</si>
  <si>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</si>
  <si>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</si>
  <si>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</si>
  <si>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</si>
  <si>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</si>
  <si>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</si>
  <si>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</si>
  <si>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</si>
  <si>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</si>
  <si>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</si>
  <si>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</si>
  <si>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</si>
  <si>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</si>
  <si>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</si>
  <si>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</si>
  <si>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</si>
  <si>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</si>
  <si>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</si>
  <si>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</si>
  <si>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</si>
  <si>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</si>
  <si>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</si>
  <si>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</si>
  <si>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</si>
  <si>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</si>
  <si>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</si>
  <si>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</si>
  <si>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</si>
  <si>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</si>
  <si>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</si>
  <si>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</si>
  <si>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</si>
  <si>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</si>
  <si>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</si>
  <si>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</si>
  <si>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</si>
  <si>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</si>
  <si>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</si>
  <si>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</si>
  <si>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</si>
  <si>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</si>
  <si>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</si>
  <si>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</si>
  <si>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</si>
  <si>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</si>
  <si>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</si>
  <si>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</si>
  <si>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</si>
  <si>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</si>
  <si>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</si>
  <si>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</si>
  <si>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</si>
  <si>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</si>
  <si>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</si>
  <si>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</si>
  <si>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</si>
  <si>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</si>
  <si>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</si>
  <si>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</si>
  <si>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</si>
  <si>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</si>
  <si>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</si>
  <si>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</si>
  <si>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</si>
  <si>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</si>
  <si>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</si>
  <si>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</si>
  <si>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</si>
  <si>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</si>
  <si>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</si>
  <si>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</si>
  <si>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</si>
  <si>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</si>
  <si>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</si>
  <si>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</si>
  <si>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</si>
  <si>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</si>
  <si>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</si>
  <si>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</si>
  <si>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</si>
  <si>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</si>
  <si>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</si>
  <si>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</si>
  <si>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</si>
  <si>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</si>
  <si>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</si>
  <si>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</si>
  <si>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</si>
  <si>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</si>
  <si>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</si>
  <si>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</si>
  <si>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</si>
  <si>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</si>
  <si>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</si>
  <si>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</si>
  <si>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</si>
  <si>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</si>
  <si>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</si>
  <si>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</si>
  <si>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</si>
  <si>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</si>
  <si>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</si>
  <si>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</si>
  <si>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</si>
  <si>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</si>
  <si>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</si>
  <si>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</si>
  <si>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</si>
  <si>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</si>
  <si>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</si>
  <si>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</si>
  <si>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</si>
  <si>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</si>
  <si>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</si>
  <si>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</si>
  <si>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</si>
  <si>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</si>
  <si>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</si>
  <si>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</si>
  <si>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</si>
  <si>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</si>
  <si>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</si>
  <si>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</si>
  <si>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</si>
  <si>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</si>
  <si>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</si>
  <si>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</si>
  <si>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</si>
  <si>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</si>
  <si>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</si>
  <si>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</si>
  <si>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</si>
  <si>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</si>
  <si>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</si>
  <si>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</si>
  <si>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</si>
  <si>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</si>
  <si>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</si>
  <si>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</si>
  <si>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</si>
  <si>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</si>
  <si>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</si>
  <si>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</si>
  <si>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</si>
  <si>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</si>
  <si>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</si>
  <si>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</si>
  <si>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</si>
  <si>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</si>
  <si>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</si>
  <si>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</si>
  <si>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</si>
  <si>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</si>
  <si>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</si>
  <si>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</si>
  <si>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</si>
  <si>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</si>
  <si>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</si>
  <si>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</si>
  <si>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</si>
  <si>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</si>
  <si>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</si>
  <si>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</si>
  <si>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</si>
  <si>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</si>
  <si>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</si>
  <si>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</si>
  <si>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</si>
  <si>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</si>
  <si>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</si>
  <si>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</si>
  <si>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</si>
  <si>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</si>
  <si>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</si>
  <si>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</si>
  <si>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</si>
  <si>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</si>
  <si>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</si>
  <si>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</si>
  <si>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</si>
  <si>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</si>
  <si>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</si>
  <si>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</si>
  <si>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</si>
  <si>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</si>
  <si>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</si>
  <si>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</si>
  <si>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</si>
  <si>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</si>
  <si>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</si>
  <si>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</si>
  <si>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</si>
  <si>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</si>
  <si>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</si>
  <si>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</si>
  <si>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</si>
  <si>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</si>
  <si>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</si>
  <si>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</si>
  <si>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</si>
  <si>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</si>
  <si>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</si>
  <si>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</si>
  <si>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</si>
  <si>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</si>
  <si>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</si>
  <si>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</si>
  <si>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</si>
  <si>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</si>
  <si>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</si>
  <si>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</si>
  <si>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</si>
  <si>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</si>
  <si>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</si>
  <si>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</si>
  <si>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</si>
  <si>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</si>
  <si>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</si>
  <si>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</si>
  <si>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</si>
  <si>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</si>
  <si>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</si>
  <si>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</si>
  <si>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</si>
  <si>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</si>
  <si>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</si>
  <si>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</si>
  <si>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</si>
  <si>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</si>
  <si>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</si>
  <si>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</si>
  <si>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</si>
  <si>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</si>
  <si>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</si>
  <si>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</si>
  <si>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</si>
  <si>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</si>
  <si>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</si>
  <si>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</si>
  <si>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</si>
  <si>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</si>
  <si>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</si>
  <si>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</si>
  <si>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</si>
  <si>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</si>
  <si>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</si>
  <si>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</si>
  <si>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</si>
  <si>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</si>
  <si>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</si>
  <si>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</si>
  <si>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</si>
  <si>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</si>
  <si>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</si>
  <si>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</si>
  <si>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</si>
  <si>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</si>
  <si>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</si>
  <si>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</si>
  <si>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</si>
  <si>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</si>
  <si>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</si>
  <si>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</si>
  <si>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</si>
  <si>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</si>
  <si>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</si>
  <si>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</si>
  <si>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</si>
  <si>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</si>
  <si>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</si>
  <si>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</si>
  <si>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</si>
  <si>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</si>
  <si>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</si>
  <si>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</si>
  <si>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</si>
  <si>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</si>
  <si>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</si>
  <si>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</si>
  <si>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</si>
  <si>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</si>
  <si>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</si>
  <si>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</si>
  <si>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</si>
  <si>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</si>
  <si>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</si>
  <si>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</si>
  <si>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</si>
  <si>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</si>
  <si>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</si>
  <si>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</si>
  <si>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</si>
  <si>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</si>
  <si>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</si>
  <si>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</si>
  <si>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</si>
  <si>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</si>
  <si>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</si>
  <si>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</si>
  <si>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</si>
  <si>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</si>
  <si>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</si>
  <si>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</si>
  <si>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</si>
  <si>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</si>
  <si>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</si>
  <si>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</si>
  <si>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</si>
  <si>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</si>
  <si>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</si>
  <si>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</si>
  <si>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</si>
  <si>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</si>
  <si>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</si>
  <si>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</si>
  <si>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</si>
  <si>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</si>
  <si>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</si>
  <si>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</si>
  <si>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</si>
  <si>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</si>
  <si>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</si>
  <si>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</si>
  <si>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</si>
  <si>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</si>
  <si>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</si>
  <si>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</si>
  <si>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</si>
  <si>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</si>
  <si>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</si>
  <si>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</si>
  <si>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</si>
  <si>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</si>
  <si>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</si>
  <si>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</si>
  <si>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</si>
  <si>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</si>
  <si>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</si>
  <si>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</si>
  <si>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</si>
  <si>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</si>
  <si>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</si>
  <si>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</si>
  <si>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</si>
  <si>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</si>
  <si>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</si>
  <si>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</si>
  <si>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</si>
  <si>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</si>
  <si>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</si>
  <si>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</si>
  <si>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</si>
  <si>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</si>
  <si>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</si>
  <si>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</si>
  <si>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</si>
  <si>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</si>
  <si>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</si>
  <si>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</si>
  <si>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</si>
  <si>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</si>
  <si>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</si>
  <si>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</si>
  <si>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</si>
  <si>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</si>
  <si>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</si>
  <si>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</si>
  <si>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</si>
  <si>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</si>
  <si>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</si>
  <si>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</si>
  <si>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</si>
  <si>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</si>
  <si>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</si>
  <si>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</si>
  <si>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</si>
  <si>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</si>
  <si>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</si>
  <si>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</si>
  <si>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</si>
  <si>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</si>
  <si>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</si>
  <si>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</si>
  <si>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</si>
  <si>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</si>
  <si>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</si>
  <si>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</si>
  <si>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</si>
  <si>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</si>
  <si>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</si>
  <si>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</si>
  <si>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</si>
  <si>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</si>
  <si>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</si>
  <si>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</si>
  <si>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</si>
  <si>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</si>
  <si>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</si>
  <si>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</si>
  <si>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</si>
  <si>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</si>
  <si>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</si>
  <si>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</si>
  <si>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</si>
  <si>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</si>
  <si>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</si>
  <si>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</si>
  <si>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</si>
  <si>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</si>
  <si>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</si>
  <si>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</si>
  <si>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</si>
  <si>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</si>
  <si>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</si>
  <si>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</si>
  <si>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</si>
  <si>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</si>
  <si>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</si>
  <si>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</si>
  <si>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</si>
  <si>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</si>
  <si>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</si>
  <si>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</si>
  <si>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</si>
  <si>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</si>
  <si>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</si>
  <si>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</si>
  <si>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</si>
  <si>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</si>
  <si>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</si>
  <si>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</si>
  <si>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</si>
  <si>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</si>
  <si>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</si>
  <si>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</si>
  <si>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</si>
  <si>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</si>
  <si>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</si>
  <si>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</si>
  <si>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</si>
  <si>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</si>
  <si>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</si>
  <si>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</si>
  <si>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</si>
  <si>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</si>
  <si>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</si>
  <si>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</si>
  <si>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</si>
  <si>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</si>
  <si>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</si>
  <si>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</si>
  <si>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</si>
  <si>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</si>
  <si>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</si>
  <si>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</si>
  <si>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</si>
  <si>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</si>
  <si>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</si>
  <si>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</si>
  <si>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</si>
  <si>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</si>
  <si>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</si>
  <si>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</si>
  <si>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</si>
  <si>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</si>
  <si>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</si>
  <si>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</si>
  <si>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</si>
  <si>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</si>
  <si>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</si>
  <si>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</si>
  <si>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</si>
  <si>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</si>
  <si>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</si>
  <si>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</si>
  <si>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</si>
  <si>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</si>
  <si>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</si>
  <si>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</si>
  <si>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</si>
  <si>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</si>
  <si>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</si>
  <si>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</si>
  <si>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</si>
  <si>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</si>
  <si>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</si>
  <si>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</si>
  <si>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</si>
  <si>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</si>
  <si>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</si>
  <si>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</si>
  <si>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</si>
  <si>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</si>
  <si>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</si>
  <si>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</si>
  <si>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</si>
  <si>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</si>
  <si>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</si>
  <si>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</si>
  <si>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</si>
  <si>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</si>
  <si>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</si>
  <si>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</si>
  <si>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</si>
  <si>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</si>
  <si>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</si>
  <si>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</si>
  <si>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</si>
  <si>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</si>
  <si>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</si>
  <si>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</si>
  <si>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</si>
  <si>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</si>
  <si>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</si>
  <si>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</si>
  <si>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</si>
  <si>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</si>
  <si>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</si>
  <si>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</si>
  <si>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</si>
  <si>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</si>
  <si>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</si>
  <si>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</si>
  <si>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</si>
  <si>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</si>
  <si>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</si>
  <si>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</si>
  <si>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</si>
  <si>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</si>
  <si>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</si>
  <si>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</si>
  <si>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</si>
  <si>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</si>
  <si>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</si>
  <si>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</si>
  <si>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</si>
  <si>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</si>
  <si>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</si>
  <si>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</si>
  <si>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</si>
  <si>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</si>
  <si>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</si>
  <si>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</si>
  <si>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</si>
  <si>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</si>
  <si>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</si>
  <si>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</si>
  <si>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</si>
  <si>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</si>
  <si>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</si>
  <si>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</si>
  <si>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</si>
  <si>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</si>
  <si>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</si>
  <si>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</si>
  <si>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</si>
  <si>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</si>
  <si>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</si>
  <si>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</si>
  <si>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</si>
  <si>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</si>
  <si>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</si>
  <si>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</si>
  <si>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</si>
  <si>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</si>
  <si>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</si>
  <si>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</si>
  <si>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</si>
  <si>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</si>
  <si>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</si>
  <si>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</si>
  <si>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</si>
  <si>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</si>
  <si>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</si>
  <si>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</si>
  <si>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</si>
  <si>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</si>
  <si>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</si>
  <si>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</si>
  <si>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</si>
  <si>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</si>
  <si>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</si>
  <si>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</si>
  <si>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</si>
  <si>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</si>
  <si>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</si>
  <si>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</si>
  <si>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</si>
  <si>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</si>
  <si>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</si>
  <si>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</si>
  <si>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</si>
  <si>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</si>
  <si>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</si>
  <si>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</si>
  <si>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</si>
  <si>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</si>
  <si>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</si>
  <si>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</si>
  <si>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</si>
  <si>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</si>
  <si>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</si>
  <si>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</si>
  <si>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</si>
  <si>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</si>
  <si>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</si>
  <si>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</si>
  <si>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</si>
  <si>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</si>
  <si>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</si>
  <si>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</si>
  <si>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</si>
  <si>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</si>
  <si>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</si>
  <si>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</si>
  <si>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</si>
  <si>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</si>
  <si>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</si>
  <si>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</si>
  <si>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</si>
  <si>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</si>
  <si>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</si>
  <si>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</si>
  <si>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</si>
  <si>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</si>
  <si>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</si>
  <si>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</si>
  <si>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</si>
  <si>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</si>
  <si>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</si>
  <si>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</si>
  <si>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</si>
  <si>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</si>
  <si>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</si>
  <si>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</si>
  <si>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</si>
  <si>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</si>
  <si>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</si>
  <si>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</si>
  <si>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</si>
  <si>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</si>
  <si>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</si>
  <si>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</si>
  <si>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</si>
  <si>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</si>
  <si>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</si>
  <si>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</si>
  <si>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</si>
  <si>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</si>
  <si>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</si>
  <si>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</si>
  <si>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</si>
  <si>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</si>
  <si>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</si>
  <si>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</si>
  <si>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</si>
  <si>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</si>
  <si>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</si>
  <si>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</si>
  <si>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</si>
  <si>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</si>
  <si>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</si>
  <si>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</si>
  <si>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</si>
  <si>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</si>
  <si>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</si>
  <si>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</si>
  <si>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</si>
  <si>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</si>
  <si>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</si>
  <si>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</si>
  <si>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</si>
  <si>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</si>
  <si>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</si>
  <si>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</si>
  <si>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</si>
  <si>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</si>
  <si>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</si>
  <si>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</si>
  <si>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</si>
  <si>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</si>
  <si>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</si>
  <si>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</si>
  <si>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</si>
  <si>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</si>
  <si>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</si>
  <si>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</si>
  <si>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</si>
  <si>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</si>
  <si>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</si>
  <si>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</si>
  <si>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</si>
  <si>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</si>
  <si>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</si>
  <si>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</si>
  <si>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</si>
  <si>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</si>
  <si>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</si>
  <si>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</si>
  <si>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</si>
  <si>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</si>
  <si>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</si>
  <si>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</si>
  <si>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</si>
  <si>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</si>
  <si>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</si>
  <si>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</si>
  <si>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</si>
  <si>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</si>
  <si>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</si>
  <si>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</si>
  <si>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</si>
  <si>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</si>
  <si>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</si>
  <si>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</si>
  <si>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</si>
  <si>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</si>
  <si>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</si>
  <si>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</si>
  <si>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</si>
  <si>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</si>
  <si>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</si>
  <si>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</si>
  <si>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</si>
  <si>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</si>
  <si>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</si>
  <si>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</si>
  <si>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</si>
  <si>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</si>
  <si>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</si>
  <si>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</si>
  <si>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</si>
  <si>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</si>
  <si>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</si>
  <si>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</si>
  <si>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</si>
  <si>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</si>
  <si>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</si>
  <si>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</si>
  <si>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</si>
  <si>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</si>
  <si>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</si>
  <si>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</si>
  <si>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</si>
  <si>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</si>
  <si>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</si>
  <si>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</si>
  <si>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</si>
  <si>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</si>
  <si>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</si>
  <si>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</si>
  <si>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</si>
  <si>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</si>
  <si>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</si>
  <si>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</si>
  <si>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</si>
  <si>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</si>
  <si>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</si>
  <si>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</si>
  <si>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</si>
  <si>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</si>
  <si>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</si>
  <si>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</si>
  <si>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</si>
  <si>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</si>
  <si>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</si>
  <si>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</si>
  <si>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</si>
  <si>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</si>
  <si>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</si>
  <si>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</si>
  <si>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</si>
  <si>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</si>
  <si>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</si>
  <si>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</si>
  <si>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</si>
  <si>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</si>
  <si>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</si>
  <si>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</si>
  <si>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</si>
  <si>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</si>
  <si>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</si>
  <si>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</si>
  <si>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</si>
  <si>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</si>
  <si>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</si>
  <si>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</si>
  <si>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</si>
  <si>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</si>
  <si>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</si>
  <si>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</si>
  <si>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</si>
  <si>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</si>
  <si>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</si>
  <si>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</si>
  <si>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</si>
  <si>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</si>
  <si>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</si>
  <si>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</si>
  <si>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</si>
  <si>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</si>
  <si>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</si>
  <si>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</si>
  <si>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</si>
  <si>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</si>
  <si>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</si>
  <si>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</si>
  <si>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</si>
  <si>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</si>
  <si>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</si>
  <si>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</si>
  <si>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</si>
  <si>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</si>
  <si>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</si>
  <si>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</si>
  <si>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</si>
  <si>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</si>
  <si>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</si>
  <si>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</si>
  <si>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</si>
  <si>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</si>
  <si>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</si>
  <si>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</si>
  <si>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</si>
  <si>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</si>
  <si>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</si>
  <si>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</si>
  <si>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</si>
  <si>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</si>
  <si>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</si>
  <si>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</si>
  <si>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</si>
  <si>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</si>
  <si>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</si>
  <si>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</si>
  <si>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</si>
  <si>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</si>
  <si>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</si>
  <si>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</si>
  <si>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</si>
  <si>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</si>
  <si>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</si>
  <si>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</si>
  <si>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</si>
  <si>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</si>
  <si>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</si>
  <si>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</si>
  <si>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</si>
  <si>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</si>
  <si>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</si>
  <si>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</si>
  <si>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</si>
  <si>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</si>
  <si>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</si>
  <si>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</si>
  <si>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</si>
  <si>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</si>
  <si>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</si>
  <si>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</si>
  <si>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</si>
  <si>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</si>
  <si>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</si>
  <si>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</si>
  <si>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</si>
  <si>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</si>
  <si>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</si>
  <si>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</si>
  <si>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</si>
  <si>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</si>
  <si>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</si>
  <si>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</si>
  <si>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</si>
  <si>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</si>
  <si>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</si>
  <si>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</si>
  <si>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</si>
  <si>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</si>
  <si>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</si>
  <si>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</si>
  <si>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</si>
  <si>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</si>
  <si>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</si>
  <si>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</si>
  <si>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</si>
  <si>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</si>
  <si>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</si>
  <si>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</si>
  <si>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</si>
  <si>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</si>
  <si>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</si>
  <si>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</si>
  <si>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</si>
  <si>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</si>
  <si>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</si>
  <si>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</si>
  <si>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</si>
  <si>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</si>
  <si>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</si>
  <si>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</si>
  <si>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</si>
  <si>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</si>
  <si>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</si>
  <si>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</si>
  <si>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</si>
  <si>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</si>
  <si>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</si>
  <si>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</si>
  <si>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</si>
  <si>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</si>
  <si>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</si>
  <si>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</si>
  <si>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</si>
  <si>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</si>
  <si>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</si>
  <si>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</si>
  <si>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</si>
  <si>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</si>
  <si>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</si>
  <si>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</si>
  <si>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</si>
  <si>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</si>
  <si>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</si>
  <si>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</si>
  <si>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</si>
  <si>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</si>
  <si>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</si>
  <si>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</si>
  <si>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</si>
  <si>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</si>
  <si>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</si>
  <si>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</si>
  <si>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</si>
  <si>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</si>
  <si>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</si>
  <si>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</si>
  <si>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</si>
  <si>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</si>
  <si>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</si>
  <si>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</si>
  <si>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</si>
  <si>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</si>
  <si>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</si>
  <si>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</si>
  <si>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</si>
  <si>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</si>
  <si>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</si>
  <si>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</si>
  <si>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</si>
  <si>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</si>
  <si>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</si>
  <si>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</si>
  <si>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</si>
  <si>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</si>
  <si>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</si>
  <si>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</si>
  <si>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</si>
  <si>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</si>
  <si>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</si>
  <si>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</si>
  <si>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</si>
  <si>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</si>
  <si>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</si>
  <si>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</si>
  <si>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</si>
  <si>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</si>
  <si>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</si>
  <si>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</si>
  <si>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</si>
  <si>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</si>
  <si>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</si>
  <si>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</si>
  <si>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</si>
  <si>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</si>
  <si>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</si>
  <si>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</si>
  <si>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</si>
  <si>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</si>
  <si>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</si>
  <si>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</si>
  <si>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</si>
  <si>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</si>
  <si>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</si>
  <si>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</si>
  <si>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</si>
  <si>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</si>
  <si>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</si>
  <si>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</si>
  <si>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</si>
  <si>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</si>
  <si>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</si>
  <si>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</si>
  <si>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</si>
  <si>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</si>
  <si>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</si>
  <si>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</si>
  <si>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</si>
  <si>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</si>
  <si>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</si>
  <si>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</si>
  <si>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</si>
  <si>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</si>
  <si>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</si>
  <si>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</si>
  <si>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</si>
  <si>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</si>
  <si>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</si>
  <si>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</si>
  <si>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</si>
  <si>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</si>
  <si>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</si>
  <si>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</si>
  <si>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</si>
  <si>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</si>
  <si>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</si>
  <si>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</si>
  <si>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</si>
  <si>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</si>
  <si>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</si>
  <si>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</si>
  <si>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</si>
  <si>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</si>
  <si>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</si>
  <si>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</si>
  <si>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</si>
  <si>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</si>
  <si>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</si>
  <si>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</si>
  <si>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</si>
  <si>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</si>
  <si>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</si>
  <si>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</si>
  <si>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</si>
  <si>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</si>
  <si>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</si>
  <si>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</si>
  <si>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</si>
  <si>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</si>
  <si>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</si>
  <si>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</si>
  <si>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</si>
  <si>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</si>
  <si>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</si>
  <si>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</si>
  <si>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</si>
  <si>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</si>
  <si>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</si>
  <si>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</si>
  <si>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</si>
  <si>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</si>
  <si>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</si>
  <si>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</si>
  <si>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</si>
  <si>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</si>
  <si>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</si>
  <si>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</si>
  <si>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</si>
  <si>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</si>
  <si>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</si>
  <si>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</si>
  <si>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</si>
  <si>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</si>
  <si>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</si>
  <si>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</si>
  <si>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</si>
  <si>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</si>
  <si>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</si>
  <si>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</si>
  <si>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</si>
  <si>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</si>
  <si>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</si>
  <si>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</si>
  <si>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</si>
  <si>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</si>
  <si>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</si>
  <si>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</si>
  <si>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</si>
  <si>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</si>
  <si>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</si>
  <si>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</si>
  <si>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</si>
  <si>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</si>
  <si>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</si>
  <si>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</si>
  <si>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</si>
  <si>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</si>
  <si>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</si>
  <si>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</si>
  <si>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</si>
  <si>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</si>
  <si>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</si>
  <si>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</si>
  <si>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</si>
  <si>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</si>
  <si>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</si>
  <si>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</si>
  <si>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</si>
  <si>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</si>
  <si>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</si>
  <si>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</si>
  <si>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</si>
  <si>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</si>
  <si>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</si>
  <si>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</si>
  <si>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</si>
  <si>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</si>
  <si>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</si>
  <si>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</si>
  <si>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</si>
  <si>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</si>
  <si>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</si>
  <si>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</si>
  <si>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</si>
  <si>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</si>
  <si>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</si>
  <si>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</si>
  <si>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</si>
  <si>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</si>
  <si>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</si>
  <si>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</si>
  <si>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</si>
  <si>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</si>
  <si>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</si>
  <si>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</si>
  <si>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</si>
  <si>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</si>
  <si>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</si>
  <si>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</si>
  <si>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</si>
  <si>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</si>
  <si>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</si>
  <si>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</si>
  <si>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</si>
  <si>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</si>
  <si>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</si>
  <si>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</si>
  <si>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</si>
  <si>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</si>
  <si>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</si>
  <si>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</si>
  <si>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</si>
  <si>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</si>
  <si>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</si>
  <si>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</si>
  <si>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</si>
  <si>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</si>
  <si>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</si>
  <si>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</si>
  <si>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</si>
  <si>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</si>
  <si>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</si>
  <si>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</si>
  <si>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</si>
  <si>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</si>
  <si>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</si>
  <si>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</si>
  <si>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</si>
  <si>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</si>
  <si>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</si>
  <si>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</si>
  <si>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</si>
  <si>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</si>
  <si>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</si>
  <si>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</si>
  <si>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</si>
  <si>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</si>
  <si>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</si>
  <si>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</si>
  <si>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</si>
  <si>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</si>
  <si>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</si>
  <si>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</si>
  <si>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</si>
  <si>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</si>
  <si>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</si>
  <si>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</si>
  <si>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</si>
  <si>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</si>
  <si>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</si>
  <si>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</si>
  <si>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</si>
  <si>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</si>
  <si>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</si>
  <si>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</si>
  <si>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</si>
  <si>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</si>
  <si>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</si>
  <si>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</si>
  <si>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</si>
  <si>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</si>
  <si>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</si>
  <si>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</si>
  <si>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</si>
  <si>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</si>
  <si>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</si>
  <si>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</si>
  <si>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</si>
  <si>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</si>
  <si>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</si>
  <si>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</si>
  <si>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</si>
  <si>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</si>
  <si>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</si>
  <si>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</si>
  <si>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</si>
  <si>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</si>
  <si>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</si>
  <si>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</si>
  <si>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</si>
  <si>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</si>
  <si>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</si>
  <si>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</si>
  <si>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</si>
  <si>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</si>
  <si>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</si>
  <si>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</si>
  <si>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</si>
  <si>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</si>
  <si>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</si>
  <si>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</si>
  <si>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</si>
  <si>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</si>
  <si>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</si>
  <si>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</si>
  <si>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</si>
  <si>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</si>
  <si>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</si>
  <si>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</si>
  <si>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</si>
  <si>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</si>
  <si>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</si>
  <si>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</si>
  <si>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</si>
  <si>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</si>
  <si>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</si>
  <si>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</si>
  <si>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</si>
  <si>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</si>
  <si>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</si>
  <si>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</si>
  <si>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</si>
  <si>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</si>
  <si>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</si>
  <si>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</si>
  <si>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</si>
  <si>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</si>
  <si>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</si>
  <si>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</si>
  <si>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</si>
  <si>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</si>
  <si>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</si>
  <si>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</si>
  <si>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</si>
  <si>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</si>
  <si>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</si>
  <si>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</si>
  <si>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</si>
  <si>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</si>
  <si>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</si>
  <si>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</si>
  <si>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</si>
  <si>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</si>
  <si>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</si>
  <si>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</si>
  <si>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</si>
  <si>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</si>
  <si>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</si>
  <si>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</si>
  <si>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</si>
  <si>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</si>
  <si>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</si>
  <si>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</si>
  <si>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</si>
  <si>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</si>
  <si>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</si>
  <si>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</si>
  <si>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</si>
  <si>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</si>
  <si>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</si>
  <si>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</si>
  <si>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</si>
  <si>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</si>
  <si>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</si>
  <si>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</si>
  <si>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</si>
  <si>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</si>
  <si>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</si>
  <si>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</si>
  <si>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</si>
  <si>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</si>
  <si>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</si>
  <si>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</si>
  <si>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</si>
  <si>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</si>
  <si>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</si>
  <si>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</si>
  <si>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</si>
  <si>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</si>
  <si>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</si>
  <si>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</si>
  <si>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</si>
  <si>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</si>
  <si>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</si>
  <si>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</si>
  <si>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</si>
  <si>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</si>
  <si>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</si>
  <si>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</si>
  <si>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</si>
  <si>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</si>
  <si>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</si>
  <si>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</si>
  <si>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</si>
  <si>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</si>
  <si>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</si>
  <si>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</si>
  <si>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</si>
  <si>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</si>
  <si>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</si>
  <si>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</si>
  <si>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</si>
  <si>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</si>
  <si>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</si>
  <si>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</si>
  <si>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</si>
  <si>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</si>
  <si>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</si>
  <si>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</si>
  <si>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</si>
  <si>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</si>
  <si>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</si>
  <si>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</si>
  <si>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</si>
  <si>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</si>
  <si>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</si>
  <si>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</si>
  <si>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</si>
  <si>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</si>
  <si>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</si>
  <si>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</si>
  <si>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</si>
  <si>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</si>
  <si>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</si>
  <si>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</si>
  <si>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</si>
  <si>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</si>
  <si>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</si>
  <si>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</si>
  <si>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</si>
  <si>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</si>
  <si>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</si>
  <si>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</si>
  <si>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</si>
  <si>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</si>
  <si>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</si>
  <si>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</si>
  <si>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</si>
  <si>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</si>
  <si>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</si>
  <si>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</si>
  <si>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</si>
  <si>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</si>
  <si>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</si>
  <si>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</si>
  <si>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</si>
  <si>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</si>
  <si>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</si>
  <si>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</si>
  <si>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</si>
  <si>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</si>
  <si>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</si>
  <si>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</si>
  <si>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</si>
  <si>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</si>
  <si>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</si>
  <si>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</si>
  <si>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</si>
  <si>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</si>
  <si>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</si>
  <si>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</si>
  <si>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</si>
  <si>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</si>
  <si>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</si>
  <si>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</si>
  <si>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</si>
  <si>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</si>
  <si>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</si>
  <si>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</si>
  <si>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</si>
  <si>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</si>
  <si>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</si>
  <si>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</si>
  <si>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</si>
  <si>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</si>
  <si>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</si>
  <si>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</si>
  <si>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</si>
  <si>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</si>
  <si>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</si>
  <si>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</si>
  <si>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</si>
  <si>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</si>
  <si>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</si>
  <si>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</si>
  <si>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</si>
  <si>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</si>
  <si>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</si>
  <si>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</si>
  <si>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</si>
  <si>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</si>
  <si>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</si>
  <si>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</si>
  <si>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</si>
  <si>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</si>
  <si>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</si>
  <si>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</si>
  <si>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</si>
  <si>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</si>
  <si>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</si>
  <si>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</si>
  <si>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</si>
  <si>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</si>
  <si>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</si>
  <si>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</si>
  <si>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</si>
  <si>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</si>
  <si>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</si>
  <si>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</si>
  <si>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</si>
  <si>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</si>
  <si>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</si>
  <si>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</si>
  <si>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</si>
  <si>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</si>
  <si>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</si>
  <si>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</si>
  <si>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</si>
  <si>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</si>
  <si>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</si>
  <si>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</si>
  <si>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</si>
  <si>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</si>
  <si>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</si>
  <si>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</si>
  <si>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</si>
  <si>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</si>
  <si>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</si>
  <si>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</si>
  <si>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</si>
  <si>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</si>
  <si>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</si>
  <si>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</si>
  <si>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</si>
  <si>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</si>
  <si>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</si>
  <si>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</si>
  <si>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</si>
  <si>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</si>
  <si>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</si>
  <si>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</si>
  <si>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</si>
  <si>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</si>
  <si>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</si>
  <si>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</si>
  <si>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</si>
  <si>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</si>
  <si>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</si>
  <si>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</si>
  <si>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</si>
  <si>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</si>
  <si>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</si>
  <si>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</si>
  <si>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</si>
  <si>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</si>
  <si>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</si>
  <si>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</si>
  <si>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</si>
  <si>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</si>
  <si>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</si>
  <si>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</si>
  <si>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</si>
  <si>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</si>
  <si>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</si>
  <si>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</si>
  <si>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</si>
  <si>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</si>
  <si>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</si>
  <si>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</si>
  <si>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</si>
  <si>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</si>
  <si>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</si>
  <si>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</si>
  <si>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</si>
  <si>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</si>
  <si>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</si>
  <si>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</si>
  <si>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</si>
  <si>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</si>
  <si>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</si>
  <si>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</si>
  <si>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</si>
  <si>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</si>
  <si>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</si>
  <si>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</si>
  <si>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</si>
  <si>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</si>
  <si>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</si>
  <si>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</si>
  <si>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</si>
  <si>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</si>
  <si>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</si>
  <si>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</si>
  <si>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</si>
  <si>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</si>
  <si>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</si>
  <si>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</si>
  <si>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</si>
  <si>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</si>
  <si>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</si>
  <si>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</si>
  <si>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</si>
  <si>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</si>
  <si>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</si>
  <si>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</si>
  <si>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</si>
  <si>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</si>
  <si>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</si>
  <si>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</si>
  <si>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</si>
  <si>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</si>
  <si>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</si>
  <si>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</si>
  <si>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</si>
  <si>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</si>
  <si>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</si>
  <si>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</si>
  <si>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</si>
  <si>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</si>
  <si>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</si>
  <si>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</si>
  <si>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</si>
  <si>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</si>
  <si>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</si>
  <si>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</si>
  <si>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</si>
  <si>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</si>
  <si>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</si>
  <si>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</si>
  <si>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</si>
  <si>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</si>
  <si>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</si>
  <si>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</si>
  <si>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</si>
  <si>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</si>
  <si>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</si>
  <si>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</si>
  <si>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</si>
  <si>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</si>
  <si>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</si>
  <si>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</si>
  <si>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</si>
  <si>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</si>
  <si>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</si>
  <si>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</si>
  <si>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</si>
  <si>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</si>
  <si>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</si>
  <si>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</si>
  <si>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</si>
  <si>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</si>
  <si>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</si>
  <si>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</si>
  <si>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</si>
  <si>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</si>
  <si>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</si>
  <si>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</si>
  <si>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</si>
  <si>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</si>
  <si>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</si>
  <si>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</si>
  <si>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</si>
  <si>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</si>
  <si>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</si>
  <si>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</si>
  <si>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</si>
  <si>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</si>
  <si>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</si>
  <si>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</si>
  <si>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</si>
  <si>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</si>
  <si>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</si>
  <si>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</si>
  <si>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</si>
  <si>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</si>
  <si>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</si>
  <si>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</si>
  <si>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</si>
  <si>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</si>
  <si>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</si>
  <si>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</si>
  <si>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</si>
  <si>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</si>
  <si>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</si>
  <si>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</si>
  <si>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</si>
  <si>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</si>
  <si>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</si>
  <si>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</si>
  <si>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</si>
  <si>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</si>
  <si>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</si>
  <si>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</si>
  <si>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</si>
  <si>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</si>
  <si>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</si>
  <si>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</si>
  <si>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</si>
  <si>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</si>
  <si>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</si>
  <si>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</si>
  <si>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</si>
  <si>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</si>
  <si>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</si>
  <si>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</si>
  <si>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</si>
  <si>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</si>
  <si>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</si>
  <si>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</si>
  <si>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</si>
  <si>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</si>
  <si>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</si>
  <si>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</si>
  <si>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</si>
  <si>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</si>
  <si>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</si>
  <si>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</si>
  <si>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</si>
  <si>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</si>
  <si>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</si>
  <si>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</si>
  <si>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</si>
  <si>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</si>
  <si>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</si>
  <si>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</si>
  <si>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</si>
  <si>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</si>
  <si>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</si>
  <si>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</si>
  <si>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</si>
  <si>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</si>
  <si>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</si>
  <si>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</si>
  <si>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</si>
  <si>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</si>
  <si>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</si>
  <si>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</si>
  <si>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</si>
  <si>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</si>
  <si>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اخزا 706 تعداد 26 قیمت 66501</t>
  </si>
  <si>
    <t>اخزا 706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</si>
  <si>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</si>
  <si>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</si>
  <si>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</si>
  <si>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</si>
  <si>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</si>
  <si>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</si>
  <si>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</si>
  <si>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</si>
  <si>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29/7/1397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</si>
  <si>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</si>
  <si>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</si>
  <si>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</si>
  <si>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</si>
  <si>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</si>
  <si>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</si>
  <si>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</si>
  <si>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</si>
  <si>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مهدی بابت نوسانگیری</t>
  </si>
  <si>
    <t>30/7/1397</t>
  </si>
  <si>
    <t>اخزا 706 تعداد 36 قیمت 66500</t>
  </si>
  <si>
    <t>اشاد9 تعداد 200 قیمت 80200</t>
  </si>
  <si>
    <t>وغدیر 981146 تا 192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</si>
  <si>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</si>
  <si>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</si>
  <si>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</si>
  <si>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</si>
  <si>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معامله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</si>
</sst>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4269</v>
      </c>
      <c r="B1" t="s">
        <v>4270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6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4182</v>
      </c>
      <c r="B3" s="18">
        <v>830000</v>
      </c>
      <c r="C3" s="18">
        <v>0</v>
      </c>
      <c r="D3" s="117">
        <f t="shared" ref="D3:D26" si="0">B3-C3</f>
        <v>830000</v>
      </c>
      <c r="E3" s="20" t="s">
        <v>4184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4201</v>
      </c>
      <c r="B4" s="18">
        <v>-52440</v>
      </c>
      <c r="C4" s="18">
        <v>0</v>
      </c>
      <c r="D4" s="113">
        <f t="shared" si="0"/>
        <v>-52440</v>
      </c>
      <c r="E4" s="99" t="s">
        <v>4205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4206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4207</v>
      </c>
      <c r="B6" s="18">
        <v>-200000</v>
      </c>
      <c r="C6" s="18">
        <v>0</v>
      </c>
      <c r="D6" s="113">
        <f t="shared" si="0"/>
        <v>-200000</v>
      </c>
      <c r="E6" s="19" t="s">
        <v>4208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4209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4210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4210</v>
      </c>
      <c r="B9" s="18">
        <v>-30000</v>
      </c>
      <c r="C9" s="18">
        <v>0</v>
      </c>
      <c r="D9" s="113">
        <f t="shared" si="0"/>
        <v>-30000</v>
      </c>
      <c r="E9" s="21" t="s">
        <v>4211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4214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4215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4219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4224</v>
      </c>
      <c r="B14" s="18">
        <v>1548000</v>
      </c>
      <c r="C14" s="18">
        <v>0</v>
      </c>
      <c r="D14" s="113">
        <f t="shared" si="0"/>
        <v>1548000</v>
      </c>
      <c r="E14" s="20" t="s">
        <v>4265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4255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4266</v>
      </c>
      <c r="B16" s="18">
        <v>-5000</v>
      </c>
      <c r="C16" s="18">
        <v>-2500</v>
      </c>
      <c r="D16" s="113">
        <f t="shared" si="0"/>
        <v>-2500</v>
      </c>
      <c r="E16" s="20" t="s">
        <v>4267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4281</v>
      </c>
      <c r="B17" s="18">
        <v>-190000</v>
      </c>
      <c r="C17" s="18">
        <v>0</v>
      </c>
      <c r="D17" s="113">
        <f t="shared" si="0"/>
        <v>-190000</v>
      </c>
      <c r="E17" s="20" t="s">
        <v>4282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4185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4220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4222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4263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4280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4290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4293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4294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4296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4300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4301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4302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4312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4325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f>SUM(D33:D70)</f>
        <v>-50352326</v>
      </c>
      <c r="E72" s="96" t="s">
        <v>6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/>
      <c r="E73" s="41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4161</v>
      </c>
      <c r="B201" s="18">
        <v>48650000</v>
      </c>
      <c r="C201" s="18">
        <v>0</v>
      </c>
      <c r="D201" s="18">
        <f t="shared" si="18"/>
        <v>48650000</v>
      </c>
      <c r="E201" s="99" t="s">
        <v>4162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4161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4161</v>
      </c>
      <c r="B203" s="18">
        <v>-5000</v>
      </c>
      <c r="C203" s="18">
        <v>0</v>
      </c>
      <c r="D203" s="18">
        <f t="shared" si="18"/>
        <v>-5000</v>
      </c>
      <c r="E203" s="99" t="s">
        <v>4163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4161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4166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4179</v>
      </c>
      <c r="B206" s="18">
        <v>-18500</v>
      </c>
      <c r="C206" s="18">
        <v>0</v>
      </c>
      <c r="D206" s="18">
        <f t="shared" si="18"/>
        <v>-18500</v>
      </c>
      <c r="E206" s="99" t="s">
        <v>4180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4176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4182</v>
      </c>
      <c r="B208" s="18">
        <v>830000</v>
      </c>
      <c r="C208" s="18">
        <v>0</v>
      </c>
      <c r="D208" s="18">
        <f t="shared" si="18"/>
        <v>830000</v>
      </c>
      <c r="E208" s="99" t="s">
        <v>4183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4201</v>
      </c>
      <c r="B209" s="18">
        <v>-52440</v>
      </c>
      <c r="C209" s="18">
        <v>0</v>
      </c>
      <c r="D209" s="18">
        <f t="shared" si="18"/>
        <v>-52440</v>
      </c>
      <c r="E209" s="99" t="s">
        <v>4205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4206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4207</v>
      </c>
      <c r="B211" s="18">
        <v>-200000</v>
      </c>
      <c r="C211" s="18">
        <v>0</v>
      </c>
      <c r="D211" s="18">
        <f t="shared" si="18"/>
        <v>-200000</v>
      </c>
      <c r="E211" s="99" t="s">
        <v>4208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4209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4210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4210</v>
      </c>
      <c r="B214" s="18">
        <v>-30000</v>
      </c>
      <c r="C214" s="18">
        <v>0</v>
      </c>
      <c r="D214" s="18">
        <f t="shared" si="18"/>
        <v>-30000</v>
      </c>
      <c r="E214" s="99" t="s">
        <v>4211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4210</v>
      </c>
      <c r="B215" s="18">
        <v>-178000</v>
      </c>
      <c r="C215" s="18">
        <v>0</v>
      </c>
      <c r="D215" s="18">
        <f t="shared" si="18"/>
        <v>-178000</v>
      </c>
      <c r="E215" s="99" t="s">
        <v>4213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4215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4175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4219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4224</v>
      </c>
      <c r="B219" s="18">
        <v>1548000</v>
      </c>
      <c r="C219" s="18">
        <v>0</v>
      </c>
      <c r="D219" s="18">
        <f t="shared" si="18"/>
        <v>1548000</v>
      </c>
      <c r="E219" s="99" t="s">
        <v>4254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4255</v>
      </c>
      <c r="B220" s="18">
        <v>-1400700</v>
      </c>
      <c r="C220" s="18">
        <v>0</v>
      </c>
      <c r="D220" s="18">
        <f t="shared" si="18"/>
        <v>-1400700</v>
      </c>
      <c r="E220" s="99" t="s">
        <v>4256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4255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4255</v>
      </c>
      <c r="B222" s="18">
        <v>-5000</v>
      </c>
      <c r="C222" s="18">
        <v>-2500</v>
      </c>
      <c r="D222" s="18">
        <f t="shared" si="18"/>
        <v>-2500</v>
      </c>
      <c r="E222" s="99" t="s">
        <v>4268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4281</v>
      </c>
      <c r="B223" s="18">
        <v>-190000</v>
      </c>
      <c r="C223" s="18">
        <v>0</v>
      </c>
      <c r="D223" s="18">
        <f t="shared" si="18"/>
        <v>-190000</v>
      </c>
      <c r="E223" s="99" t="s">
        <v>4282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4161</v>
      </c>
      <c r="B23" s="18">
        <v>48650000</v>
      </c>
      <c r="C23" s="18">
        <v>0</v>
      </c>
      <c r="D23" s="113">
        <f t="shared" si="0"/>
        <v>48650000</v>
      </c>
      <c r="E23" s="19" t="s">
        <v>4162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4161</v>
      </c>
      <c r="B24" s="18">
        <v>-3005900</v>
      </c>
      <c r="C24" s="18">
        <v>0</v>
      </c>
      <c r="D24" s="113">
        <f t="shared" si="0"/>
        <v>-3005900</v>
      </c>
      <c r="E24" s="19" t="s">
        <v>4164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4166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4166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4179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4169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4170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4171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4173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4177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4178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4181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4266</v>
      </c>
      <c r="B72" s="113">
        <v>-5000</v>
      </c>
      <c r="C72" s="99" t="s">
        <v>4267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6" zoomScaleNormal="100" workbookViewId="0">
      <pane xSplit="1" topLeftCell="B1" activePane="topRight" state="frozen"/>
      <selection pane="topRight" activeCell="Q32" sqref="Q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76827.436495061353</v>
      </c>
      <c r="C2" s="86">
        <f t="shared" ref="C2:C20" si="0">$S2/(1+($C$1-$O2+$P2)/36500)^$N2</f>
        <v>80136.147617179129</v>
      </c>
      <c r="D2" s="86">
        <f>$S2/(1+($D$1-$O2+$P2)/36500)^$N2</f>
        <v>80559.658512500697</v>
      </c>
      <c r="E2" s="86">
        <f>$S2/(1+($E$1-$O2+$P2)/36500)^$N2</f>
        <v>80985.413461533506</v>
      </c>
      <c r="F2" s="86">
        <f>$S2/(1+($F$1-$O2+$P2)/36500)^$N2</f>
        <v>81413.424385804377</v>
      </c>
      <c r="G2" s="86">
        <f>$S2/(1+($G$1-$O2+$P2)/36500)^$N2</f>
        <v>81843.70327031723</v>
      </c>
      <c r="H2" s="86">
        <f>$S2/(1+($H$1-$O2+$P2)/36500)^$N2</f>
        <v>82276.262163933061</v>
      </c>
      <c r="I2" s="86">
        <f>$S2/(1+($I$1-$O2+$P2)/36500)^$N2</f>
        <v>82711.113179674125</v>
      </c>
      <c r="J2" s="86">
        <f>$S2/(1+($J$1-$O2+$P2)/36500)^$N2</f>
        <v>83148.268495089695</v>
      </c>
      <c r="K2" s="86">
        <f>$S2/(1+($K$1-$O2+$P2)/36500)^$N2</f>
        <v>83587.740352606241</v>
      </c>
      <c r="L2" s="86">
        <f t="shared" ref="L2:L37" si="1">$S2/(1+($AC$5-$O2+$P2)/36500)^$N2</f>
        <v>80985.413461533506</v>
      </c>
      <c r="M2" s="148" t="s">
        <v>993</v>
      </c>
      <c r="N2" s="148">
        <f>601-$AD$19</f>
        <v>385</v>
      </c>
      <c r="O2" s="148">
        <v>0</v>
      </c>
      <c r="P2" s="148">
        <v>0</v>
      </c>
      <c r="Q2" s="148">
        <v>0</v>
      </c>
      <c r="R2" s="148">
        <f t="shared" ref="R2:R37" si="2">N2/30.5</f>
        <v>12.622950819672131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0" t="s">
        <v>4236</v>
      </c>
      <c r="B3" s="191">
        <f>$S3/(1+($B$1-$O3+$P3)/36500)^$N3</f>
        <v>96238.275357686885</v>
      </c>
      <c r="C3" s="191">
        <f t="shared" si="0"/>
        <v>96830.330119171238</v>
      </c>
      <c r="D3" s="191">
        <f t="shared" ref="D3:D37" si="5">$S3/(1+($D$1-$O3+$P3)/36500)^$N3</f>
        <v>96904.597182400496</v>
      </c>
      <c r="E3" s="191">
        <f t="shared" ref="E3:E37" si="6">$S3/(1+($E$1-$O3+$P3)/36500)^$N3</f>
        <v>96978.922225048766</v>
      </c>
      <c r="F3" s="191">
        <f t="shared" ref="F3:F37" si="7">$S3/(1+($F$1-$O3+$P3)/36500)^$N3</f>
        <v>97053.305293176294</v>
      </c>
      <c r="G3" s="191">
        <f t="shared" ref="G3:G37" si="8">$S3/(1+($G$1-$O3+$P3)/36500)^$N3</f>
        <v>97127.746432877015</v>
      </c>
      <c r="H3" s="191">
        <f t="shared" ref="H3:H37" si="9">$S3/(1+($H$1-$O3+$P3)/36500)^$N3</f>
        <v>97202.245690285694</v>
      </c>
      <c r="I3" s="191">
        <f t="shared" ref="I3:I37" si="10">$S3/(1+($I$1-$O3+$P3)/36500)^$N3</f>
        <v>97276.803111571557</v>
      </c>
      <c r="J3" s="191">
        <f t="shared" ref="J3:J37" si="11">$S3/(1+($J$1-$O3+$P3)/36500)^$N3</f>
        <v>97351.418742942289</v>
      </c>
      <c r="K3" s="191">
        <f t="shared" ref="K3:K37" si="12">$S3/(1+($K$1-$O3+$P3)/36500)^$N3</f>
        <v>97426.092630645115</v>
      </c>
      <c r="L3" s="191">
        <f t="shared" si="1"/>
        <v>96978.922225048766</v>
      </c>
      <c r="M3" s="190" t="s">
        <v>4245</v>
      </c>
      <c r="N3" s="190">
        <f>272-$AD$19</f>
        <v>56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78314.544537586742</v>
      </c>
      <c r="C4" s="88">
        <f t="shared" si="0"/>
        <v>81437.185249428221</v>
      </c>
      <c r="D4" s="88">
        <f t="shared" si="5"/>
        <v>81836.19458360353</v>
      </c>
      <c r="E4" s="88">
        <f t="shared" si="6"/>
        <v>82237.164405487463</v>
      </c>
      <c r="F4" s="88">
        <f t="shared" si="7"/>
        <v>82640.10437476552</v>
      </c>
      <c r="G4" s="88">
        <f t="shared" si="8"/>
        <v>83045.024198832121</v>
      </c>
      <c r="H4" s="88">
        <f t="shared" si="9"/>
        <v>83451.93363306555</v>
      </c>
      <c r="I4" s="88">
        <f t="shared" si="10"/>
        <v>83860.842481031345</v>
      </c>
      <c r="J4" s="88">
        <f t="shared" si="11"/>
        <v>84271.76059474262</v>
      </c>
      <c r="K4" s="88">
        <f t="shared" si="12"/>
        <v>84684.697874905323</v>
      </c>
      <c r="L4" s="88">
        <f t="shared" si="1"/>
        <v>82237.164405487463</v>
      </c>
      <c r="M4" s="87" t="s">
        <v>994</v>
      </c>
      <c r="N4" s="87">
        <f>573-$AD$19</f>
        <v>357</v>
      </c>
      <c r="O4" s="87">
        <v>0</v>
      </c>
      <c r="P4" s="87">
        <v>0</v>
      </c>
      <c r="Q4" s="87">
        <v>0</v>
      </c>
      <c r="R4" s="87">
        <f t="shared" si="2"/>
        <v>11.704918032786885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95320.165892721183</v>
      </c>
      <c r="C5" s="57">
        <f t="shared" si="0"/>
        <v>96053.736935616689</v>
      </c>
      <c r="D5" s="57">
        <f t="shared" si="5"/>
        <v>96145.835051137779</v>
      </c>
      <c r="E5" s="57">
        <f t="shared" si="6"/>
        <v>96238.022734782062</v>
      </c>
      <c r="F5" s="57">
        <f t="shared" si="7"/>
        <v>96330.300074887287</v>
      </c>
      <c r="G5" s="57">
        <f t="shared" si="8"/>
        <v>96422.667159875215</v>
      </c>
      <c r="H5" s="57">
        <f t="shared" si="9"/>
        <v>96515.124078260429</v>
      </c>
      <c r="I5" s="57">
        <f t="shared" si="10"/>
        <v>96607.67091864247</v>
      </c>
      <c r="J5" s="57">
        <f t="shared" si="11"/>
        <v>96700.307769711042</v>
      </c>
      <c r="K5" s="57">
        <f t="shared" si="12"/>
        <v>96793.034720247102</v>
      </c>
      <c r="L5" s="57">
        <f t="shared" si="1"/>
        <v>96238.022734782062</v>
      </c>
      <c r="M5" s="12" t="s">
        <v>996</v>
      </c>
      <c r="N5" s="12">
        <f>286-$AD$19</f>
        <v>70</v>
      </c>
      <c r="O5" s="12">
        <v>0</v>
      </c>
      <c r="P5" s="12">
        <v>0</v>
      </c>
      <c r="Q5" s="12">
        <v>0</v>
      </c>
      <c r="R5" s="12">
        <f t="shared" si="2"/>
        <v>2.2950819672131146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84094.556028717023</v>
      </c>
      <c r="C6" s="86">
        <f t="shared" si="0"/>
        <v>86457.278347419735</v>
      </c>
      <c r="D6" s="86">
        <f t="shared" si="5"/>
        <v>86757.266957648637</v>
      </c>
      <c r="E6" s="86">
        <f t="shared" si="6"/>
        <v>87058.30059393734</v>
      </c>
      <c r="F6" s="86">
        <f t="shared" si="7"/>
        <v>87360.382911078224</v>
      </c>
      <c r="G6" s="86">
        <f t="shared" si="8"/>
        <v>87663.517576681508</v>
      </c>
      <c r="H6" s="86">
        <f t="shared" si="9"/>
        <v>87967.708271249241</v>
      </c>
      <c r="I6" s="86">
        <f t="shared" si="10"/>
        <v>88272.958688195038</v>
      </c>
      <c r="J6" s="86">
        <f t="shared" si="11"/>
        <v>88579.272533905634</v>
      </c>
      <c r="K6" s="86">
        <f t="shared" si="12"/>
        <v>88886.653527790739</v>
      </c>
      <c r="L6" s="86">
        <f t="shared" si="1"/>
        <v>87058.30059393734</v>
      </c>
      <c r="M6" s="148" t="s">
        <v>995</v>
      </c>
      <c r="N6" s="148">
        <f>469-$AD$19</f>
        <v>253</v>
      </c>
      <c r="O6" s="148">
        <v>0</v>
      </c>
      <c r="P6" s="148">
        <v>0</v>
      </c>
      <c r="Q6" s="148">
        <v>0</v>
      </c>
      <c r="R6" s="148">
        <f t="shared" si="2"/>
        <v>8.2950819672131146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986</v>
      </c>
      <c r="B7" s="191">
        <f t="shared" si="14"/>
        <v>84094.556028717023</v>
      </c>
      <c r="C7" s="191">
        <f t="shared" si="0"/>
        <v>86457.278347419735</v>
      </c>
      <c r="D7" s="191">
        <f t="shared" si="5"/>
        <v>86757.266957648637</v>
      </c>
      <c r="E7" s="191">
        <f t="shared" si="6"/>
        <v>87058.30059393734</v>
      </c>
      <c r="F7" s="191">
        <f t="shared" si="7"/>
        <v>87360.382911078224</v>
      </c>
      <c r="G7" s="191">
        <f t="shared" si="8"/>
        <v>87663.517576681508</v>
      </c>
      <c r="H7" s="191">
        <f t="shared" si="9"/>
        <v>87967.708271249241</v>
      </c>
      <c r="I7" s="191">
        <f t="shared" si="10"/>
        <v>88272.958688195038</v>
      </c>
      <c r="J7" s="191">
        <f t="shared" si="11"/>
        <v>88579.272533905634</v>
      </c>
      <c r="K7" s="191">
        <f t="shared" si="12"/>
        <v>88886.653527790739</v>
      </c>
      <c r="L7" s="191">
        <f t="shared" si="1"/>
        <v>87058.30059393734</v>
      </c>
      <c r="M7" s="190" t="s">
        <v>995</v>
      </c>
      <c r="N7" s="190">
        <f>469-$AD$19</f>
        <v>253</v>
      </c>
      <c r="O7" s="190">
        <v>0</v>
      </c>
      <c r="P7" s="190">
        <v>0</v>
      </c>
      <c r="Q7" s="190">
        <v>0</v>
      </c>
      <c r="R7" s="190">
        <f t="shared" si="2"/>
        <v>8.2950819672131146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75730.666521255276</v>
      </c>
      <c r="C8" s="88">
        <f t="shared" si="0"/>
        <v>79174.028018185723</v>
      </c>
      <c r="D8" s="88">
        <f t="shared" si="5"/>
        <v>79615.34095546497</v>
      </c>
      <c r="E8" s="88">
        <f t="shared" si="6"/>
        <v>80059.119846410962</v>
      </c>
      <c r="F8" s="88">
        <f t="shared" si="7"/>
        <v>80505.378504252265</v>
      </c>
      <c r="G8" s="88">
        <f t="shared" si="8"/>
        <v>80954.130819762679</v>
      </c>
      <c r="H8" s="88">
        <f t="shared" si="9"/>
        <v>81405.390761740302</v>
      </c>
      <c r="I8" s="88">
        <f t="shared" si="10"/>
        <v>81859.172377408671</v>
      </c>
      <c r="J8" s="88">
        <f t="shared" si="11"/>
        <v>82315.489792882203</v>
      </c>
      <c r="K8" s="88">
        <f t="shared" si="12"/>
        <v>82774.357213616153</v>
      </c>
      <c r="L8" s="88">
        <f t="shared" si="1"/>
        <v>80059.119846410962</v>
      </c>
      <c r="M8" s="87" t="s">
        <v>999</v>
      </c>
      <c r="N8" s="87">
        <f>622-$AD$19</f>
        <v>406</v>
      </c>
      <c r="O8" s="87">
        <v>0</v>
      </c>
      <c r="P8" s="87">
        <v>0</v>
      </c>
      <c r="Q8" s="87">
        <v>0</v>
      </c>
      <c r="R8" s="87">
        <f t="shared" si="2"/>
        <v>13.311475409836065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4237</v>
      </c>
      <c r="B9" s="86">
        <f t="shared" si="14"/>
        <v>97098.721940649513</v>
      </c>
      <c r="C9" s="86">
        <f t="shared" si="0"/>
        <v>97557.073321153264</v>
      </c>
      <c r="D9" s="86">
        <f t="shared" si="5"/>
        <v>97614.522705318159</v>
      </c>
      <c r="E9" s="86">
        <f t="shared" si="6"/>
        <v>97672.00670749729</v>
      </c>
      <c r="F9" s="86">
        <f t="shared" si="7"/>
        <v>97729.525349026546</v>
      </c>
      <c r="G9" s="86">
        <f t="shared" si="8"/>
        <v>97787.078651252508</v>
      </c>
      <c r="H9" s="86">
        <f t="shared" si="9"/>
        <v>97844.666635538088</v>
      </c>
      <c r="I9" s="86">
        <f t="shared" si="10"/>
        <v>97902.289323257239</v>
      </c>
      <c r="J9" s="86">
        <f t="shared" si="11"/>
        <v>97959.946735798527</v>
      </c>
      <c r="K9" s="86">
        <f t="shared" si="12"/>
        <v>98017.63889456552</v>
      </c>
      <c r="L9" s="86">
        <f t="shared" si="1"/>
        <v>97672.00670749729</v>
      </c>
      <c r="M9" s="148" t="s">
        <v>4246</v>
      </c>
      <c r="N9" s="148">
        <f>259-$AD$19</f>
        <v>43</v>
      </c>
      <c r="O9" s="148">
        <v>0</v>
      </c>
      <c r="P9" s="148">
        <v>0</v>
      </c>
      <c r="Q9" s="148">
        <v>0</v>
      </c>
      <c r="R9" s="148">
        <f t="shared" si="2"/>
        <v>1.4098360655737705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988</v>
      </c>
      <c r="B10" s="191">
        <f t="shared" si="14"/>
        <v>72533.409059156766</v>
      </c>
      <c r="C10" s="191">
        <f t="shared" si="0"/>
        <v>76356.423753668467</v>
      </c>
      <c r="D10" s="191">
        <f t="shared" si="5"/>
        <v>76848.286339771192</v>
      </c>
      <c r="E10" s="191">
        <f t="shared" si="6"/>
        <v>77343.324139682081</v>
      </c>
      <c r="F10" s="191">
        <f t="shared" si="7"/>
        <v>77841.557694865944</v>
      </c>
      <c r="G10" s="191">
        <f t="shared" si="8"/>
        <v>78343.007679937044</v>
      </c>
      <c r="H10" s="191">
        <f t="shared" si="9"/>
        <v>78847.694903571537</v>
      </c>
      <c r="I10" s="191">
        <f t="shared" si="10"/>
        <v>79355.640309336217</v>
      </c>
      <c r="J10" s="191">
        <f t="shared" si="11"/>
        <v>79866.864976591227</v>
      </c>
      <c r="K10" s="191">
        <f t="shared" si="12"/>
        <v>80381.390121379285</v>
      </c>
      <c r="L10" s="191">
        <f t="shared" si="1"/>
        <v>77343.324139682081</v>
      </c>
      <c r="M10" s="190" t="s">
        <v>1000</v>
      </c>
      <c r="N10" s="190">
        <f>685-$AD$19</f>
        <v>469</v>
      </c>
      <c r="O10" s="190">
        <v>0</v>
      </c>
      <c r="P10" s="190">
        <v>0</v>
      </c>
      <c r="Q10" s="190">
        <v>0</v>
      </c>
      <c r="R10" s="190">
        <f t="shared" si="2"/>
        <v>15.377049180327869</v>
      </c>
      <c r="S10" s="191">
        <v>100000</v>
      </c>
      <c r="T10" s="191">
        <v>70000</v>
      </c>
      <c r="U10" s="191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73937.399884369181</v>
      </c>
      <c r="C11" s="88">
        <f t="shared" si="0"/>
        <v>77596.096282500948</v>
      </c>
      <c r="D11" s="88">
        <f t="shared" si="5"/>
        <v>78066.012573056229</v>
      </c>
      <c r="E11" s="88">
        <f t="shared" si="6"/>
        <v>78538.781134494755</v>
      </c>
      <c r="F11" s="88">
        <f t="shared" si="7"/>
        <v>79014.419318783941</v>
      </c>
      <c r="G11" s="88">
        <f t="shared" si="8"/>
        <v>79492.944583669989</v>
      </c>
      <c r="H11" s="88">
        <f t="shared" si="9"/>
        <v>79974.374493369804</v>
      </c>
      <c r="I11" s="88">
        <f t="shared" si="10"/>
        <v>80458.726719180704</v>
      </c>
      <c r="J11" s="88">
        <f t="shared" si="11"/>
        <v>80946.01904016074</v>
      </c>
      <c r="K11" s="88">
        <f t="shared" si="12"/>
        <v>81436.269343793276</v>
      </c>
      <c r="L11" s="88">
        <f t="shared" si="1"/>
        <v>78538.781134494755</v>
      </c>
      <c r="M11" s="87" t="s">
        <v>1001</v>
      </c>
      <c r="N11" s="87">
        <f>657-$AD$19</f>
        <v>441</v>
      </c>
      <c r="O11" s="87">
        <v>0</v>
      </c>
      <c r="P11" s="87">
        <v>0</v>
      </c>
      <c r="Q11" s="87">
        <v>0</v>
      </c>
      <c r="R11" s="87">
        <f t="shared" si="2"/>
        <v>14.459016393442623</v>
      </c>
      <c r="S11" s="88">
        <v>100000</v>
      </c>
      <c r="T11" s="88">
        <v>70700</v>
      </c>
      <c r="U11" s="88">
        <f t="shared" si="3"/>
        <v>99999.999999999985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73937.399884369181</v>
      </c>
      <c r="C12" s="86">
        <f t="shared" si="0"/>
        <v>77596.096282500948</v>
      </c>
      <c r="D12" s="86">
        <f t="shared" si="5"/>
        <v>78066.012573056229</v>
      </c>
      <c r="E12" s="86">
        <f t="shared" si="6"/>
        <v>78538.781134494755</v>
      </c>
      <c r="F12" s="86">
        <f t="shared" si="7"/>
        <v>79014.419318783941</v>
      </c>
      <c r="G12" s="86">
        <f t="shared" si="8"/>
        <v>79492.944583669989</v>
      </c>
      <c r="H12" s="86">
        <f t="shared" si="9"/>
        <v>79974.374493369804</v>
      </c>
      <c r="I12" s="86">
        <f t="shared" si="10"/>
        <v>80458.726719180704</v>
      </c>
      <c r="J12" s="86">
        <f t="shared" si="11"/>
        <v>80946.01904016074</v>
      </c>
      <c r="K12" s="86">
        <f t="shared" si="12"/>
        <v>81436.269343793276</v>
      </c>
      <c r="L12" s="86">
        <f t="shared" si="1"/>
        <v>78538.781134494755</v>
      </c>
      <c r="M12" s="148" t="s">
        <v>1001</v>
      </c>
      <c r="N12" s="148">
        <f>657-$AD$19</f>
        <v>441</v>
      </c>
      <c r="O12" s="148">
        <v>0</v>
      </c>
      <c r="P12" s="148">
        <v>0</v>
      </c>
      <c r="Q12" s="148">
        <v>0</v>
      </c>
      <c r="R12" s="148">
        <f t="shared" si="2"/>
        <v>14.459016393442623</v>
      </c>
      <c r="S12" s="86">
        <v>100000</v>
      </c>
      <c r="T12" s="86">
        <v>71000</v>
      </c>
      <c r="U12" s="86">
        <f t="shared" si="3"/>
        <v>99999.999999999985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991</v>
      </c>
      <c r="B13" s="191">
        <f t="shared" si="14"/>
        <v>76827.436495061353</v>
      </c>
      <c r="C13" s="191">
        <f t="shared" si="0"/>
        <v>80136.147617179129</v>
      </c>
      <c r="D13" s="191">
        <f t="shared" si="5"/>
        <v>80559.658512500697</v>
      </c>
      <c r="E13" s="191">
        <f t="shared" si="6"/>
        <v>80985.413461533506</v>
      </c>
      <c r="F13" s="191">
        <f t="shared" si="7"/>
        <v>81413.424385804377</v>
      </c>
      <c r="G13" s="191">
        <f t="shared" si="8"/>
        <v>81843.70327031723</v>
      </c>
      <c r="H13" s="191">
        <f t="shared" si="9"/>
        <v>82276.262163933061</v>
      </c>
      <c r="I13" s="191">
        <f t="shared" si="10"/>
        <v>82711.113179674125</v>
      </c>
      <c r="J13" s="191">
        <f t="shared" si="11"/>
        <v>83148.268495089695</v>
      </c>
      <c r="K13" s="191">
        <f t="shared" si="12"/>
        <v>83587.740352606241</v>
      </c>
      <c r="L13" s="191">
        <f t="shared" si="1"/>
        <v>80985.413461533506</v>
      </c>
      <c r="M13" s="190" t="s">
        <v>993</v>
      </c>
      <c r="N13" s="190">
        <f>601-$AD$19</f>
        <v>385</v>
      </c>
      <c r="O13" s="190">
        <v>0</v>
      </c>
      <c r="P13" s="190">
        <v>0</v>
      </c>
      <c r="Q13" s="190">
        <v>0</v>
      </c>
      <c r="R13" s="190">
        <f t="shared" si="2"/>
        <v>12.622950819672131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81654.739125547654</v>
      </c>
      <c r="C14" s="88">
        <f t="shared" si="0"/>
        <v>84345.190428865812</v>
      </c>
      <c r="D14" s="88">
        <f t="shared" si="5"/>
        <v>84687.692052887418</v>
      </c>
      <c r="E14" s="88">
        <f t="shared" si="6"/>
        <v>85031.589195543638</v>
      </c>
      <c r="F14" s="88">
        <f t="shared" si="7"/>
        <v>85376.887562088858</v>
      </c>
      <c r="G14" s="88">
        <f t="shared" si="8"/>
        <v>85723.592881164121</v>
      </c>
      <c r="H14" s="88">
        <f t="shared" si="9"/>
        <v>86071.710904926455</v>
      </c>
      <c r="I14" s="88">
        <f t="shared" si="10"/>
        <v>86421.247409116011</v>
      </c>
      <c r="J14" s="88">
        <f t="shared" si="11"/>
        <v>86772.208193171769</v>
      </c>
      <c r="K14" s="88">
        <f t="shared" si="12"/>
        <v>87124.599080333486</v>
      </c>
      <c r="L14" s="88">
        <f t="shared" si="1"/>
        <v>85031.589195543638</v>
      </c>
      <c r="M14" s="87" t="s">
        <v>3857</v>
      </c>
      <c r="N14" s="87">
        <f>512-$AD$19</f>
        <v>296</v>
      </c>
      <c r="O14" s="87">
        <v>0</v>
      </c>
      <c r="P14" s="87">
        <v>0</v>
      </c>
      <c r="Q14" s="87">
        <v>0</v>
      </c>
      <c r="R14" s="87">
        <f t="shared" si="2"/>
        <v>9.7049180327868854</v>
      </c>
      <c r="S14" s="88">
        <v>100000</v>
      </c>
      <c r="T14" s="88">
        <v>50000</v>
      </c>
      <c r="U14" s="88">
        <f>B14*(1+$AC$2/36500)^N14</f>
        <v>100000.00000000001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63380.861818321304</v>
      </c>
      <c r="C15" s="57">
        <f t="shared" si="0"/>
        <v>68176.660907380458</v>
      </c>
      <c r="D15" s="57">
        <f t="shared" si="5"/>
        <v>68801.14552943231</v>
      </c>
      <c r="E15" s="57">
        <f t="shared" si="6"/>
        <v>69431.35897366784</v>
      </c>
      <c r="F15" s="57">
        <f t="shared" si="7"/>
        <v>70067.353873999382</v>
      </c>
      <c r="G15" s="57">
        <f t="shared" si="8"/>
        <v>70709.183348616716</v>
      </c>
      <c r="H15" s="57">
        <f t="shared" si="9"/>
        <v>71356.901004510742</v>
      </c>
      <c r="I15" s="57">
        <f t="shared" si="10"/>
        <v>72010.560941923293</v>
      </c>
      <c r="J15" s="57">
        <f t="shared" si="11"/>
        <v>72670.21775892713</v>
      </c>
      <c r="K15" s="57">
        <f t="shared" si="12"/>
        <v>73335.926556022343</v>
      </c>
      <c r="L15" s="57">
        <f t="shared" si="1"/>
        <v>69431.35897366784</v>
      </c>
      <c r="M15" s="12" t="s">
        <v>3911</v>
      </c>
      <c r="N15" s="12">
        <f>882-$AD$19</f>
        <v>666</v>
      </c>
      <c r="O15" s="12">
        <v>0</v>
      </c>
      <c r="P15" s="12">
        <v>0</v>
      </c>
      <c r="Q15" s="12">
        <v>0</v>
      </c>
      <c r="R15" s="12">
        <f t="shared" si="2"/>
        <v>21.83606557377049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62177.328171937414</v>
      </c>
      <c r="C16" s="86">
        <f t="shared" si="0"/>
        <v>67087.472949693649</v>
      </c>
      <c r="D16" s="86">
        <f t="shared" si="5"/>
        <v>67727.938931197947</v>
      </c>
      <c r="E16" s="86">
        <f t="shared" si="6"/>
        <v>68374.528162882998</v>
      </c>
      <c r="F16" s="86">
        <f t="shared" si="7"/>
        <v>69027.299271854616</v>
      </c>
      <c r="G16" s="86">
        <f t="shared" si="8"/>
        <v>69686.311447327244</v>
      </c>
      <c r="H16" s="86">
        <f t="shared" si="9"/>
        <v>70351.624446083908</v>
      </c>
      <c r="I16" s="86">
        <f t="shared" si="10"/>
        <v>71023.298597870104</v>
      </c>
      <c r="J16" s="86">
        <f t="shared" si="11"/>
        <v>71701.394810931131</v>
      </c>
      <c r="K16" s="86">
        <f t="shared" si="12"/>
        <v>72385.974577576009</v>
      </c>
      <c r="L16" s="86">
        <f t="shared" si="1"/>
        <v>68374.528162882998</v>
      </c>
      <c r="M16" s="148" t="s">
        <v>4223</v>
      </c>
      <c r="N16" s="148">
        <f>910-$AD$19</f>
        <v>694</v>
      </c>
      <c r="O16" s="148">
        <v>0</v>
      </c>
      <c r="P16" s="148">
        <v>0</v>
      </c>
      <c r="Q16" s="148">
        <v>0</v>
      </c>
      <c r="R16" s="148">
        <f t="shared" si="2"/>
        <v>22.754098360655739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4238</v>
      </c>
      <c r="B17" s="191">
        <f t="shared" si="14"/>
        <v>96634.452963838936</v>
      </c>
      <c r="C17" s="191">
        <f t="shared" si="0"/>
        <v>97165.074883615976</v>
      </c>
      <c r="D17" s="191">
        <f t="shared" si="5"/>
        <v>97231.611263126353</v>
      </c>
      <c r="E17" s="191">
        <f t="shared" si="6"/>
        <v>97298.194117086226</v>
      </c>
      <c r="F17" s="191">
        <f t="shared" si="7"/>
        <v>97364.823478595514</v>
      </c>
      <c r="G17" s="191">
        <f t="shared" si="8"/>
        <v>97431.499380775203</v>
      </c>
      <c r="H17" s="191">
        <f t="shared" si="9"/>
        <v>97498.221856773263</v>
      </c>
      <c r="I17" s="191">
        <f t="shared" si="10"/>
        <v>97564.990939759417</v>
      </c>
      <c r="J17" s="191">
        <f t="shared" si="11"/>
        <v>97631.806662928429</v>
      </c>
      <c r="K17" s="191">
        <f t="shared" si="12"/>
        <v>97698.669059501073</v>
      </c>
      <c r="L17" s="191">
        <f t="shared" si="1"/>
        <v>97298.194117086226</v>
      </c>
      <c r="M17" s="190" t="s">
        <v>4247</v>
      </c>
      <c r="N17" s="190">
        <f>266-$AD$19</f>
        <v>50</v>
      </c>
      <c r="O17" s="190">
        <v>0</v>
      </c>
      <c r="P17" s="190">
        <v>0</v>
      </c>
      <c r="Q17" s="190">
        <v>0</v>
      </c>
      <c r="R17" s="190">
        <f t="shared" si="2"/>
        <v>1.639344262295082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4239</v>
      </c>
      <c r="B18" s="88">
        <f t="shared" si="14"/>
        <v>94410.815156925586</v>
      </c>
      <c r="C18" s="88">
        <f t="shared" si="0"/>
        <v>95283.372141162952</v>
      </c>
      <c r="D18" s="88">
        <f t="shared" si="5"/>
        <v>95393.01402059244</v>
      </c>
      <c r="E18" s="88">
        <f t="shared" si="6"/>
        <v>95502.783567831822</v>
      </c>
      <c r="F18" s="88">
        <f t="shared" si="7"/>
        <v>95612.680933291849</v>
      </c>
      <c r="G18" s="88">
        <f t="shared" si="8"/>
        <v>95722.706267557398</v>
      </c>
      <c r="H18" s="88">
        <f t="shared" si="9"/>
        <v>95832.859721397923</v>
      </c>
      <c r="I18" s="88">
        <f t="shared" si="10"/>
        <v>95943.141445758578</v>
      </c>
      <c r="J18" s="88">
        <f t="shared" si="11"/>
        <v>96053.55159176614</v>
      </c>
      <c r="K18" s="88">
        <f t="shared" si="12"/>
        <v>96164.090310730608</v>
      </c>
      <c r="L18" s="88">
        <f t="shared" si="1"/>
        <v>95502.783567831822</v>
      </c>
      <c r="M18" s="87" t="s">
        <v>4248</v>
      </c>
      <c r="N18" s="87">
        <f>300-$AD$19</f>
        <v>84</v>
      </c>
      <c r="O18" s="87">
        <v>0</v>
      </c>
      <c r="P18" s="87">
        <v>0</v>
      </c>
      <c r="Q18" s="87">
        <v>0</v>
      </c>
      <c r="R18" s="87">
        <f t="shared" si="2"/>
        <v>2.7540983606557377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4240</v>
      </c>
      <c r="B19" s="57">
        <f t="shared" si="14"/>
        <v>57351.33851753574</v>
      </c>
      <c r="C19" s="57">
        <f t="shared" si="0"/>
        <v>62685.267126244573</v>
      </c>
      <c r="D19" s="57">
        <f t="shared" si="5"/>
        <v>63386.025154549374</v>
      </c>
      <c r="E19" s="57">
        <f t="shared" si="6"/>
        <v>64094.626705819945</v>
      </c>
      <c r="F19" s="57">
        <f t="shared" si="7"/>
        <v>64811.159681129247</v>
      </c>
      <c r="G19" s="57">
        <f t="shared" si="8"/>
        <v>65535.712967832485</v>
      </c>
      <c r="H19" s="57">
        <f t="shared" si="9"/>
        <v>66268.376450716314</v>
      </c>
      <c r="I19" s="57">
        <f t="shared" si="10"/>
        <v>67009.241023143069</v>
      </c>
      <c r="J19" s="57">
        <f t="shared" si="11"/>
        <v>67758.398598420958</v>
      </c>
      <c r="K19" s="57">
        <f t="shared" si="12"/>
        <v>68515.94212127327</v>
      </c>
      <c r="L19" s="57">
        <f t="shared" si="1"/>
        <v>64094.626705819945</v>
      </c>
      <c r="M19" s="12" t="s">
        <v>4249</v>
      </c>
      <c r="N19" s="12">
        <f>1028-$AD$19</f>
        <v>812</v>
      </c>
      <c r="O19" s="12">
        <v>0</v>
      </c>
      <c r="P19" s="12">
        <v>0</v>
      </c>
      <c r="Q19" s="12">
        <v>0</v>
      </c>
      <c r="R19" s="12">
        <f t="shared" si="2"/>
        <v>26.622950819672131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216</v>
      </c>
      <c r="AF19" s="26"/>
    </row>
    <row r="20" spans="1:32" ht="22.5" customHeight="1" x14ac:dyDescent="0.25">
      <c r="A20" s="148" t="s">
        <v>4241</v>
      </c>
      <c r="B20" s="86">
        <f t="shared" si="14"/>
        <v>81654.739125547654</v>
      </c>
      <c r="C20" s="86">
        <f t="shared" si="0"/>
        <v>84345.190428865812</v>
      </c>
      <c r="D20" s="86">
        <f t="shared" si="5"/>
        <v>84687.692052887418</v>
      </c>
      <c r="E20" s="86">
        <f t="shared" si="6"/>
        <v>85031.589195543638</v>
      </c>
      <c r="F20" s="86">
        <f t="shared" si="7"/>
        <v>85376.887562088858</v>
      </c>
      <c r="G20" s="86">
        <f t="shared" si="8"/>
        <v>85723.592881164121</v>
      </c>
      <c r="H20" s="86">
        <f t="shared" si="9"/>
        <v>86071.710904926455</v>
      </c>
      <c r="I20" s="86">
        <f t="shared" si="10"/>
        <v>86421.247409116011</v>
      </c>
      <c r="J20" s="86">
        <f t="shared" si="11"/>
        <v>86772.208193171769</v>
      </c>
      <c r="K20" s="86">
        <f t="shared" si="12"/>
        <v>87124.599080333486</v>
      </c>
      <c r="L20" s="86">
        <f t="shared" si="1"/>
        <v>85031.589195543638</v>
      </c>
      <c r="M20" s="148" t="s">
        <v>3857</v>
      </c>
      <c r="N20" s="148">
        <f>512-$AD$19</f>
        <v>296</v>
      </c>
      <c r="O20" s="148">
        <v>0</v>
      </c>
      <c r="P20" s="148">
        <v>0</v>
      </c>
      <c r="Q20" s="148">
        <v>0</v>
      </c>
      <c r="R20" s="148">
        <f t="shared" si="2"/>
        <v>9.7049180327868854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4242</v>
      </c>
      <c r="B21" s="191">
        <f t="shared" si="14"/>
        <v>64962.556206461843</v>
      </c>
      <c r="C21" s="191">
        <f>$S21/(1+($C$1-$O21+$P21)/36500)^$N21</f>
        <v>69603.069164306187</v>
      </c>
      <c r="D21" s="191">
        <f t="shared" si="5"/>
        <v>70206.008403086045</v>
      </c>
      <c r="E21" s="191">
        <f t="shared" si="6"/>
        <v>70814.178988319458</v>
      </c>
      <c r="F21" s="191">
        <f t="shared" si="7"/>
        <v>71427.626381870243</v>
      </c>
      <c r="G21" s="191">
        <f t="shared" si="8"/>
        <v>72046.396441279721</v>
      </c>
      <c r="H21" s="191">
        <f t="shared" si="9"/>
        <v>72670.53542327485</v>
      </c>
      <c r="I21" s="191">
        <f t="shared" si="10"/>
        <v>73300.089987195723</v>
      </c>
      <c r="J21" s="191">
        <f t="shared" si="11"/>
        <v>73935.107198538884</v>
      </c>
      <c r="K21" s="191">
        <f t="shared" si="12"/>
        <v>74575.634532506476</v>
      </c>
      <c r="L21" s="191">
        <f t="shared" si="1"/>
        <v>70814.178988319458</v>
      </c>
      <c r="M21" s="190" t="s">
        <v>4250</v>
      </c>
      <c r="N21" s="190">
        <f>846-$AD$19</f>
        <v>630</v>
      </c>
      <c r="O21" s="190">
        <v>0</v>
      </c>
      <c r="P21" s="190">
        <v>0</v>
      </c>
      <c r="Q21" s="190">
        <v>0</v>
      </c>
      <c r="R21" s="190">
        <f t="shared" si="2"/>
        <v>20.655737704918032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4310</v>
      </c>
      <c r="B22" s="191">
        <f t="shared" si="14"/>
        <v>78260.941153235224</v>
      </c>
      <c r="C22" s="191">
        <f>$S22/(1+($C$1-$O22+$P22)/36500)^$N22</f>
        <v>81390.35792021385</v>
      </c>
      <c r="D22" s="191">
        <f t="shared" si="5"/>
        <v>81790.257589614819</v>
      </c>
      <c r="E22" s="191">
        <f t="shared" si="6"/>
        <v>82192.127623228167</v>
      </c>
      <c r="F22" s="191">
        <f t="shared" si="7"/>
        <v>82595.97775651206</v>
      </c>
      <c r="G22" s="191">
        <f t="shared" si="8"/>
        <v>83001.817773141971</v>
      </c>
      <c r="H22" s="191">
        <f t="shared" si="9"/>
        <v>83409.657505288895</v>
      </c>
      <c r="I22" s="191">
        <f t="shared" si="10"/>
        <v>83819.506833825639</v>
      </c>
      <c r="J22" s="191">
        <f t="shared" si="11"/>
        <v>84231.375688590531</v>
      </c>
      <c r="K22" s="191">
        <f t="shared" si="12"/>
        <v>84645.274048636085</v>
      </c>
      <c r="L22" s="191">
        <f t="shared" si="1"/>
        <v>82192.127623228167</v>
      </c>
      <c r="M22" s="190" t="s">
        <v>4311</v>
      </c>
      <c r="N22" s="190">
        <f>574-$AD$19</f>
        <v>358</v>
      </c>
      <c r="O22" s="190">
        <v>0</v>
      </c>
      <c r="P22" s="190"/>
      <c r="Q22" s="190">
        <v>0</v>
      </c>
      <c r="R22" s="190">
        <f t="shared" si="2"/>
        <v>11.737704918032787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4243</v>
      </c>
      <c r="B23" s="88">
        <f t="shared" si="14"/>
        <v>83007.634778202977</v>
      </c>
      <c r="C23" s="88">
        <f t="shared" ref="C23:C37" si="16">$S23/(1+($C$1-$O23+$P23)/36500)^$N23</f>
        <v>85517.585796265179</v>
      </c>
      <c r="D23" s="88">
        <f t="shared" si="5"/>
        <v>85836.639316319168</v>
      </c>
      <c r="E23" s="88">
        <f t="shared" si="6"/>
        <v>86156.887570710343</v>
      </c>
      <c r="F23" s="88">
        <f t="shared" si="7"/>
        <v>86478.335049721878</v>
      </c>
      <c r="G23" s="88">
        <f t="shared" si="8"/>
        <v>86800.986260559643</v>
      </c>
      <c r="H23" s="88">
        <f t="shared" si="9"/>
        <v>87124.845727446969</v>
      </c>
      <c r="I23" s="88">
        <f t="shared" si="10"/>
        <v>87449.917991661627</v>
      </c>
      <c r="J23" s="88">
        <f t="shared" si="11"/>
        <v>87776.207611617661</v>
      </c>
      <c r="K23" s="88">
        <f t="shared" si="12"/>
        <v>88103.719162934314</v>
      </c>
      <c r="L23" s="88">
        <f t="shared" si="1"/>
        <v>86156.887570710343</v>
      </c>
      <c r="M23" s="87" t="s">
        <v>4251</v>
      </c>
      <c r="N23" s="87">
        <f>488-$AD$19</f>
        <v>272</v>
      </c>
      <c r="O23" s="87">
        <v>0</v>
      </c>
      <c r="P23" s="87">
        <v>0</v>
      </c>
      <c r="Q23" s="87">
        <v>0</v>
      </c>
      <c r="R23" s="87">
        <f t="shared" si="2"/>
        <v>8.9180327868852451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4244</v>
      </c>
      <c r="B24" s="86">
        <f t="shared" si="14"/>
        <v>81264.314190719742</v>
      </c>
      <c r="C24" s="86">
        <f t="shared" si="16"/>
        <v>84006.27924860669</v>
      </c>
      <c r="D24" s="86">
        <f t="shared" si="5"/>
        <v>84355.488550773691</v>
      </c>
      <c r="E24" s="86">
        <f t="shared" si="6"/>
        <v>84706.154306925586</v>
      </c>
      <c r="F24" s="86">
        <f t="shared" si="7"/>
        <v>85058.282611596456</v>
      </c>
      <c r="G24" s="86">
        <f t="shared" si="8"/>
        <v>85411.879584890194</v>
      </c>
      <c r="H24" s="86">
        <f t="shared" si="9"/>
        <v>85766.951372621697</v>
      </c>
      <c r="I24" s="86">
        <f t="shared" si="10"/>
        <v>86123.504146395033</v>
      </c>
      <c r="J24" s="86">
        <f t="shared" si="11"/>
        <v>86481.544103731241</v>
      </c>
      <c r="K24" s="86">
        <f t="shared" si="12"/>
        <v>86841.077468181596</v>
      </c>
      <c r="L24" s="86">
        <f t="shared" si="1"/>
        <v>84706.154306925586</v>
      </c>
      <c r="M24" s="148" t="s">
        <v>4252</v>
      </c>
      <c r="N24" s="148">
        <f>519-$AD$19</f>
        <v>303</v>
      </c>
      <c r="O24" s="148">
        <v>0</v>
      </c>
      <c r="P24" s="148">
        <v>0</v>
      </c>
      <c r="Q24" s="148">
        <v>0</v>
      </c>
      <c r="R24" s="148">
        <f t="shared" si="2"/>
        <v>9.9344262295081975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1005</v>
      </c>
      <c r="B25" s="191">
        <f t="shared" si="14"/>
        <v>75859.342046113437</v>
      </c>
      <c r="C25" s="191">
        <f t="shared" si="16"/>
        <v>86339.080016551496</v>
      </c>
      <c r="D25" s="191">
        <f t="shared" si="5"/>
        <v>87747.073876316295</v>
      </c>
      <c r="E25" s="191">
        <f t="shared" si="6"/>
        <v>89178.048669959942</v>
      </c>
      <c r="F25" s="191">
        <f t="shared" si="7"/>
        <v>90632.379809163598</v>
      </c>
      <c r="G25" s="191">
        <f t="shared" si="8"/>
        <v>92110.448843602673</v>
      </c>
      <c r="H25" s="191">
        <f t="shared" si="9"/>
        <v>93612.6435613215</v>
      </c>
      <c r="I25" s="191">
        <f t="shared" si="10"/>
        <v>95139.358090681984</v>
      </c>
      <c r="J25" s="191">
        <f t="shared" si="11"/>
        <v>96690.993004413423</v>
      </c>
      <c r="K25" s="191">
        <f t="shared" si="12"/>
        <v>98267.95542476156</v>
      </c>
      <c r="L25" s="191">
        <f t="shared" si="1"/>
        <v>89178.048669959942</v>
      </c>
      <c r="M25" s="190" t="s">
        <v>1006</v>
      </c>
      <c r="N25" s="190">
        <f>1397-$AD$19</f>
        <v>1181</v>
      </c>
      <c r="O25" s="190">
        <v>17</v>
      </c>
      <c r="P25" s="190">
        <f>$AI$2</f>
        <v>0.54</v>
      </c>
      <c r="Q25" s="190">
        <v>6</v>
      </c>
      <c r="R25" s="190">
        <f t="shared" si="2"/>
        <v>38.721311475409834</v>
      </c>
      <c r="S25" s="191">
        <v>100000</v>
      </c>
      <c r="T25" s="191">
        <v>96000</v>
      </c>
      <c r="U25" s="191">
        <f t="shared" si="3"/>
        <v>170290.88738050463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95786.880124643343</v>
      </c>
      <c r="C26" s="88">
        <f t="shared" si="16"/>
        <v>99510.193250039447</v>
      </c>
      <c r="D26" s="88">
        <f t="shared" si="5"/>
        <v>99985.699655674165</v>
      </c>
      <c r="E26" s="88">
        <f t="shared" si="6"/>
        <v>100463.48481464328</v>
      </c>
      <c r="F26" s="88">
        <f t="shared" si="7"/>
        <v>100943.55967878674</v>
      </c>
      <c r="G26" s="88">
        <f t="shared" si="8"/>
        <v>101425.93525272157</v>
      </c>
      <c r="H26" s="88">
        <f t="shared" si="9"/>
        <v>101910.62259411416</v>
      </c>
      <c r="I26" s="88">
        <f t="shared" si="10"/>
        <v>102397.632813914</v>
      </c>
      <c r="J26" s="88">
        <f t="shared" si="11"/>
        <v>102886.97707664472</v>
      </c>
      <c r="K26" s="88">
        <f t="shared" si="12"/>
        <v>103378.66660063498</v>
      </c>
      <c r="L26" s="88">
        <f t="shared" si="1"/>
        <v>100463.48481464328</v>
      </c>
      <c r="M26" s="87" t="s">
        <v>977</v>
      </c>
      <c r="N26" s="87">
        <f>564-$AD$19</f>
        <v>348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11.409836065573771</v>
      </c>
      <c r="S26" s="88">
        <v>100000</v>
      </c>
      <c r="T26" s="88">
        <v>100000</v>
      </c>
      <c r="U26" s="88">
        <f t="shared" si="3"/>
        <v>121559.06759970136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90924.781329799182</v>
      </c>
      <c r="C27" s="57">
        <f t="shared" si="16"/>
        <v>94634.712834950391</v>
      </c>
      <c r="D27" s="57">
        <f t="shared" si="5"/>
        <v>95109.002721192592</v>
      </c>
      <c r="E27" s="57">
        <f t="shared" si="6"/>
        <v>95585.676196818982</v>
      </c>
      <c r="F27" s="57">
        <f t="shared" si="7"/>
        <v>96064.745273662746</v>
      </c>
      <c r="G27" s="57">
        <f t="shared" si="8"/>
        <v>96546.222024289164</v>
      </c>
      <c r="H27" s="57">
        <f t="shared" si="9"/>
        <v>97030.118582241281</v>
      </c>
      <c r="I27" s="57">
        <f t="shared" si="10"/>
        <v>97516.447142395002</v>
      </c>
      <c r="J27" s="57">
        <f t="shared" si="11"/>
        <v>98005.219961254901</v>
      </c>
      <c r="K27" s="57">
        <f t="shared" si="12"/>
        <v>98496.44935724375</v>
      </c>
      <c r="L27" s="57">
        <f t="shared" si="1"/>
        <v>95585.676196818982</v>
      </c>
      <c r="M27" s="12" t="s">
        <v>978</v>
      </c>
      <c r="N27" s="12">
        <f>581-$AD$19</f>
        <v>365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11.967213114754099</v>
      </c>
      <c r="S27" s="57">
        <v>100000</v>
      </c>
      <c r="T27" s="57">
        <v>92000</v>
      </c>
      <c r="U27" s="57">
        <f t="shared" si="3"/>
        <v>116739.73952755284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94972.848671174768</v>
      </c>
      <c r="C28" s="86">
        <f t="shared" si="16"/>
        <v>99413.361769200885</v>
      </c>
      <c r="D28" s="86">
        <f t="shared" si="5"/>
        <v>99982.864485519123</v>
      </c>
      <c r="E28" s="86">
        <f t="shared" si="6"/>
        <v>100555.63754276141</v>
      </c>
      <c r="F28" s="86">
        <f t="shared" si="7"/>
        <v>101131.69976589094</v>
      </c>
      <c r="G28" s="86">
        <f t="shared" si="8"/>
        <v>101711.07008848144</v>
      </c>
      <c r="H28" s="86">
        <f t="shared" si="9"/>
        <v>102293.76755336588</v>
      </c>
      <c r="I28" s="86">
        <f t="shared" si="10"/>
        <v>102879.81131324125</v>
      </c>
      <c r="J28" s="86">
        <f t="shared" si="11"/>
        <v>103469.22063134429</v>
      </c>
      <c r="K28" s="86">
        <f t="shared" si="12"/>
        <v>104062.01488205706</v>
      </c>
      <c r="L28" s="86">
        <f t="shared" si="1"/>
        <v>100555.63754276141</v>
      </c>
      <c r="M28" s="148" t="s">
        <v>979</v>
      </c>
      <c r="N28" s="148">
        <f>633-$AD$19</f>
        <v>417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13.672131147540984</v>
      </c>
      <c r="S28" s="86">
        <v>100000</v>
      </c>
      <c r="T28" s="86">
        <v>100000</v>
      </c>
      <c r="U28" s="86">
        <f t="shared" si="3"/>
        <v>126356.80825040807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94177.383323027549</v>
      </c>
      <c r="C29" s="94">
        <f t="shared" si="16"/>
        <v>99318.025829995837</v>
      </c>
      <c r="D29" s="90">
        <f t="shared" si="5"/>
        <v>99980.070483440781</v>
      </c>
      <c r="E29" s="90">
        <f t="shared" si="6"/>
        <v>100646.53742448062</v>
      </c>
      <c r="F29" s="90">
        <f t="shared" si="7"/>
        <v>101317.456254053</v>
      </c>
      <c r="G29" s="90">
        <f t="shared" si="8"/>
        <v>101992.85677162846</v>
      </c>
      <c r="H29" s="90">
        <f t="shared" si="9"/>
        <v>102672.76897656868</v>
      </c>
      <c r="I29" s="90">
        <f t="shared" si="10"/>
        <v>103357.22306943836</v>
      </c>
      <c r="J29" s="90">
        <f t="shared" si="11"/>
        <v>104046.2494534045</v>
      </c>
      <c r="K29" s="90">
        <f t="shared" si="12"/>
        <v>104739.87873555886</v>
      </c>
      <c r="L29" s="92">
        <f t="shared" si="1"/>
        <v>100646.53742448062</v>
      </c>
      <c r="M29" s="91" t="s">
        <v>980</v>
      </c>
      <c r="N29" s="91">
        <f>701-$AD$19</f>
        <v>485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15.901639344262295</v>
      </c>
      <c r="S29" s="92">
        <v>100000</v>
      </c>
      <c r="T29" s="92">
        <v>100000</v>
      </c>
      <c r="U29" s="92">
        <f t="shared" si="3"/>
        <v>131270.24393427523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89995.992912827147</v>
      </c>
      <c r="C30" s="94">
        <f t="shared" si="16"/>
        <v>95189.177974581413</v>
      </c>
      <c r="D30" s="90">
        <f t="shared" si="5"/>
        <v>95859.092800889237</v>
      </c>
      <c r="E30" s="90">
        <f t="shared" si="6"/>
        <v>96533.731573723053</v>
      </c>
      <c r="F30" s="90">
        <f t="shared" si="7"/>
        <v>97213.127669692971</v>
      </c>
      <c r="G30" s="90">
        <f t="shared" si="8"/>
        <v>97897.314701663461</v>
      </c>
      <c r="H30" s="90">
        <f t="shared" si="9"/>
        <v>98586.326520485934</v>
      </c>
      <c r="I30" s="90">
        <f t="shared" si="10"/>
        <v>99280.197216620742</v>
      </c>
      <c r="J30" s="90">
        <f t="shared" si="11"/>
        <v>99978.961121918168</v>
      </c>
      <c r="K30" s="90">
        <f t="shared" si="12"/>
        <v>100682.65281124586</v>
      </c>
      <c r="L30" s="94">
        <f t="shared" si="1"/>
        <v>96533.731573723053</v>
      </c>
      <c r="M30" s="93" t="s">
        <v>1004</v>
      </c>
      <c r="N30" s="93">
        <f>728-$AD$19</f>
        <v>512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16.78688524590164</v>
      </c>
      <c r="S30" s="94">
        <v>100000</v>
      </c>
      <c r="T30" s="94">
        <v>95000</v>
      </c>
      <c r="U30" s="94">
        <f t="shared" si="3"/>
        <v>127782.55558882732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88816.63820321091</v>
      </c>
      <c r="C31" s="86">
        <f t="shared" si="16"/>
        <v>93356.616803891491</v>
      </c>
      <c r="D31" s="86">
        <f t="shared" si="5"/>
        <v>93940.229807375435</v>
      </c>
      <c r="E31" s="86">
        <f t="shared" si="6"/>
        <v>94527.499299480289</v>
      </c>
      <c r="F31" s="86">
        <f t="shared" si="7"/>
        <v>95118.44823959803</v>
      </c>
      <c r="G31" s="86">
        <f t="shared" si="8"/>
        <v>95713.099731644004</v>
      </c>
      <c r="H31" s="86">
        <f t="shared" si="9"/>
        <v>96311.477024891603</v>
      </c>
      <c r="I31" s="86">
        <f t="shared" si="10"/>
        <v>96913.60351494643</v>
      </c>
      <c r="J31" s="86">
        <f t="shared" si="11"/>
        <v>97519.502744650323</v>
      </c>
      <c r="K31" s="86">
        <f t="shared" si="12"/>
        <v>98129.198404981915</v>
      </c>
      <c r="L31" s="86">
        <f t="shared" si="1"/>
        <v>94527.499299480289</v>
      </c>
      <c r="M31" s="148" t="s">
        <v>981</v>
      </c>
      <c r="N31" s="148">
        <f>671-$AD$19</f>
        <v>455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14.918032786885245</v>
      </c>
      <c r="S31" s="86">
        <v>100000</v>
      </c>
      <c r="T31" s="86">
        <v>90600</v>
      </c>
      <c r="U31" s="86">
        <f t="shared" si="3"/>
        <v>121281.11998846086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80089.144784638542</v>
      </c>
      <c r="C32" s="94">
        <f t="shared" si="16"/>
        <v>87129.418614375885</v>
      </c>
      <c r="D32" s="90">
        <f t="shared" si="5"/>
        <v>88051.952987435739</v>
      </c>
      <c r="E32" s="90">
        <f t="shared" si="6"/>
        <v>88984.268076674911</v>
      </c>
      <c r="F32" s="90">
        <f t="shared" si="7"/>
        <v>89926.467713421764</v>
      </c>
      <c r="G32" s="90">
        <f t="shared" si="8"/>
        <v>90878.656832733977</v>
      </c>
      <c r="H32" s="90">
        <f t="shared" si="9"/>
        <v>91840.941485062416</v>
      </c>
      <c r="I32" s="90">
        <f t="shared" si="10"/>
        <v>92813.428848261523</v>
      </c>
      <c r="J32" s="90">
        <f t="shared" si="11"/>
        <v>93796.227239446685</v>
      </c>
      <c r="K32" s="90">
        <f t="shared" si="12"/>
        <v>94789.446127243413</v>
      </c>
      <c r="L32" s="92">
        <f t="shared" si="1"/>
        <v>88984.268076674911</v>
      </c>
      <c r="M32" s="91" t="s">
        <v>982</v>
      </c>
      <c r="N32" s="91">
        <f>985-$AD$19</f>
        <v>769</v>
      </c>
      <c r="O32" s="91">
        <v>15</v>
      </c>
      <c r="P32" s="91">
        <f>$AI$2</f>
        <v>0.54</v>
      </c>
      <c r="Q32" s="91">
        <v>6</v>
      </c>
      <c r="R32" s="91">
        <f t="shared" si="2"/>
        <v>25.21311475409836</v>
      </c>
      <c r="S32" s="92">
        <v>100000</v>
      </c>
      <c r="T32" s="92">
        <v>85800</v>
      </c>
      <c r="U32" s="92">
        <f t="shared" si="3"/>
        <v>135594.9800113258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90424.904334675521</v>
      </c>
      <c r="C33" s="94">
        <f t="shared" si="16"/>
        <v>91892.476889239435</v>
      </c>
      <c r="D33" s="90">
        <f t="shared" si="5"/>
        <v>92077.601732170908</v>
      </c>
      <c r="E33" s="90">
        <f t="shared" si="6"/>
        <v>92263.102066314517</v>
      </c>
      <c r="F33" s="90">
        <f t="shared" si="7"/>
        <v>92448.978658444918</v>
      </c>
      <c r="G33" s="90">
        <f t="shared" si="8"/>
        <v>92635.232276904178</v>
      </c>
      <c r="H33" s="90">
        <f t="shared" si="9"/>
        <v>92821.863691622886</v>
      </c>
      <c r="I33" s="90">
        <f t="shared" si="10"/>
        <v>93008.873674107395</v>
      </c>
      <c r="J33" s="90">
        <f t="shared" si="11"/>
        <v>93196.262997453203</v>
      </c>
      <c r="K33" s="90">
        <f t="shared" si="12"/>
        <v>93384.032436350375</v>
      </c>
      <c r="L33" s="94">
        <f t="shared" si="1"/>
        <v>92263.102066314517</v>
      </c>
      <c r="M33" s="93" t="s">
        <v>983</v>
      </c>
      <c r="N33" s="93">
        <f>363-$AD$19</f>
        <v>147</v>
      </c>
      <c r="O33" s="93">
        <v>0</v>
      </c>
      <c r="P33" s="93">
        <v>0</v>
      </c>
      <c r="Q33" s="93">
        <v>0</v>
      </c>
      <c r="R33" s="93">
        <f t="shared" si="2"/>
        <v>4.8196721311475406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85217.374506482374</v>
      </c>
      <c r="C34" s="94">
        <f t="shared" si="16"/>
        <v>95650.506107120236</v>
      </c>
      <c r="D34" s="90">
        <f t="shared" si="5"/>
        <v>97041.510766607171</v>
      </c>
      <c r="E34" s="90">
        <f t="shared" si="6"/>
        <v>98452.763687112049</v>
      </c>
      <c r="F34" s="90">
        <f t="shared" si="7"/>
        <v>99884.559897392828</v>
      </c>
      <c r="G34" s="90">
        <f t="shared" si="8"/>
        <v>101337.19872903782</v>
      </c>
      <c r="H34" s="90">
        <f t="shared" si="9"/>
        <v>102810.98387935005</v>
      </c>
      <c r="I34" s="90">
        <f t="shared" si="10"/>
        <v>104306.22347503326</v>
      </c>
      <c r="J34" s="90">
        <f t="shared" si="11"/>
        <v>105823.23013685815</v>
      </c>
      <c r="K34" s="90">
        <f t="shared" si="12"/>
        <v>107362.32104532352</v>
      </c>
      <c r="L34" s="90">
        <f t="shared" si="1"/>
        <v>98452.763687112049</v>
      </c>
      <c r="M34" s="89" t="s">
        <v>974</v>
      </c>
      <c r="N34" s="89">
        <f>1270-$AD$19</f>
        <v>1054</v>
      </c>
      <c r="O34" s="89">
        <v>20</v>
      </c>
      <c r="P34" s="89">
        <f>$AI$2</f>
        <v>0.54</v>
      </c>
      <c r="Q34" s="89">
        <v>6</v>
      </c>
      <c r="R34" s="89">
        <f t="shared" si="2"/>
        <v>34.557377049180324</v>
      </c>
      <c r="S34" s="90">
        <v>100000</v>
      </c>
      <c r="T34" s="90">
        <v>100000</v>
      </c>
      <c r="U34" s="90">
        <f t="shared" si="3"/>
        <v>175366.14197660098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98679.895907218641</v>
      </c>
      <c r="C35" s="86">
        <f t="shared" si="16"/>
        <v>100183.53930888239</v>
      </c>
      <c r="D35" s="86">
        <f t="shared" si="5"/>
        <v>100373.11031398214</v>
      </c>
      <c r="E35" s="86">
        <f t="shared" si="6"/>
        <v>100563.0426366864</v>
      </c>
      <c r="F35" s="86">
        <f t="shared" si="7"/>
        <v>100753.33697062338</v>
      </c>
      <c r="G35" s="86">
        <f t="shared" si="8"/>
        <v>100943.99401075648</v>
      </c>
      <c r="H35" s="86">
        <f t="shared" si="9"/>
        <v>101135.01445340022</v>
      </c>
      <c r="I35" s="86">
        <f t="shared" si="10"/>
        <v>101326.3989962117</v>
      </c>
      <c r="J35" s="86">
        <f t="shared" si="11"/>
        <v>101518.14833819657</v>
      </c>
      <c r="K35" s="86">
        <f t="shared" si="12"/>
        <v>101710.2631797131</v>
      </c>
      <c r="L35" s="86">
        <f t="shared" si="1"/>
        <v>100563.0426366864</v>
      </c>
      <c r="M35" s="148" t="s">
        <v>976</v>
      </c>
      <c r="N35" s="148">
        <f>354-$AD$19</f>
        <v>138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4.5245901639344259</v>
      </c>
      <c r="S35" s="86">
        <v>100000</v>
      </c>
      <c r="T35" s="86">
        <v>103000</v>
      </c>
      <c r="U35" s="86">
        <f t="shared" si="3"/>
        <v>108458.69719320536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997</v>
      </c>
      <c r="B36" s="191">
        <f t="shared" si="14"/>
        <v>94058.155687793798</v>
      </c>
      <c r="C36" s="191">
        <f t="shared" si="16"/>
        <v>100000</v>
      </c>
      <c r="D36" s="191">
        <f t="shared" si="5"/>
        <v>100768.69809948347</v>
      </c>
      <c r="E36" s="191">
        <f t="shared" si="6"/>
        <v>101543.31581859975</v>
      </c>
      <c r="F36" s="191">
        <f t="shared" si="7"/>
        <v>102323.89882542257</v>
      </c>
      <c r="G36" s="191">
        <f t="shared" si="8"/>
        <v>103110.4931409431</v>
      </c>
      <c r="H36" s="191">
        <f t="shared" si="9"/>
        <v>103903.1451418786</v>
      </c>
      <c r="I36" s="191">
        <f t="shared" si="10"/>
        <v>104701.9015633441</v>
      </c>
      <c r="J36" s="191">
        <f t="shared" si="11"/>
        <v>105506.80950168159</v>
      </c>
      <c r="K36" s="191">
        <f t="shared" si="12"/>
        <v>106317.91641722663</v>
      </c>
      <c r="L36" s="191">
        <f t="shared" si="1"/>
        <v>101543.31581859975</v>
      </c>
      <c r="M36" s="190" t="s">
        <v>998</v>
      </c>
      <c r="N36" s="190">
        <f>775-$AD$19</f>
        <v>559</v>
      </c>
      <c r="O36" s="190">
        <v>21</v>
      </c>
      <c r="P36" s="190">
        <v>0</v>
      </c>
      <c r="Q36" s="190">
        <v>1</v>
      </c>
      <c r="R36" s="190">
        <f t="shared" si="2"/>
        <v>18.327868852459016</v>
      </c>
      <c r="S36" s="191">
        <v>100000</v>
      </c>
      <c r="T36" s="191">
        <v>104000</v>
      </c>
      <c r="U36" s="191">
        <f t="shared" si="3"/>
        <v>137917.94660601462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77039.728897170353</v>
      </c>
      <c r="C37" s="88">
        <f t="shared" si="16"/>
        <v>87050.737582922302</v>
      </c>
      <c r="D37" s="88">
        <f t="shared" si="5"/>
        <v>88390.395616801339</v>
      </c>
      <c r="E37" s="88">
        <f t="shared" si="6"/>
        <v>89750.688949617921</v>
      </c>
      <c r="F37" s="88">
        <f t="shared" si="7"/>
        <v>91131.935724446565</v>
      </c>
      <c r="G37" s="88">
        <f t="shared" si="8"/>
        <v>92534.458993841836</v>
      </c>
      <c r="H37" s="88">
        <f t="shared" si="9"/>
        <v>93958.586795604075</v>
      </c>
      <c r="I37" s="88">
        <f t="shared" si="10"/>
        <v>95404.652229650441</v>
      </c>
      <c r="J37" s="88">
        <f t="shared" si="11"/>
        <v>96872.993536483278</v>
      </c>
      <c r="K37" s="88">
        <f t="shared" si="12"/>
        <v>98363.954176298401</v>
      </c>
      <c r="L37" s="88">
        <f t="shared" si="1"/>
        <v>89750.688949617921</v>
      </c>
      <c r="M37" s="87" t="s">
        <v>1047</v>
      </c>
      <c r="N37" s="87">
        <f>1331-$AD$19</f>
        <v>1115</v>
      </c>
      <c r="O37" s="87">
        <v>17</v>
      </c>
      <c r="P37" s="87">
        <f>AI2</f>
        <v>0.54</v>
      </c>
      <c r="Q37" s="87">
        <v>6</v>
      </c>
      <c r="R37" s="87">
        <f t="shared" si="2"/>
        <v>36.557377049180324</v>
      </c>
      <c r="S37" s="88">
        <v>100000</v>
      </c>
      <c r="T37" s="88"/>
      <c r="U37" s="88">
        <f t="shared" si="3"/>
        <v>165299.41360633995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4235</v>
      </c>
      <c r="AD62" s="25"/>
      <c r="AE62" s="26"/>
    </row>
    <row r="63" spans="1:31" x14ac:dyDescent="0.25">
      <c r="A63">
        <v>611</v>
      </c>
      <c r="B63" t="s">
        <v>4227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4228</v>
      </c>
      <c r="AD65" s="25"/>
      <c r="AE65" s="26"/>
    </row>
    <row r="66" spans="1:31" x14ac:dyDescent="0.25">
      <c r="A66">
        <v>702</v>
      </c>
      <c r="B66" t="s">
        <v>4229</v>
      </c>
      <c r="AD66" s="25"/>
      <c r="AE66" s="26"/>
    </row>
    <row r="67" spans="1:31" x14ac:dyDescent="0.25">
      <c r="A67">
        <v>704</v>
      </c>
      <c r="B67" t="s">
        <v>4230</v>
      </c>
      <c r="AD67" s="25"/>
      <c r="AE67" s="26"/>
    </row>
    <row r="68" spans="1:31" x14ac:dyDescent="0.25">
      <c r="A68">
        <v>705</v>
      </c>
      <c r="B68" t="s">
        <v>4231</v>
      </c>
      <c r="AD68" s="25"/>
      <c r="AE68" s="26"/>
    </row>
    <row r="69" spans="1:31" x14ac:dyDescent="0.25">
      <c r="A69">
        <v>706</v>
      </c>
      <c r="B69" t="s">
        <v>4232</v>
      </c>
      <c r="AD69" s="25"/>
      <c r="AE69" s="26"/>
    </row>
    <row r="70" spans="1:31" x14ac:dyDescent="0.25">
      <c r="A70" s="25">
        <v>711</v>
      </c>
      <c r="B70" s="25" t="s">
        <v>4233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4234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C17" sqref="C1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1224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14100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4271</v>
      </c>
      <c r="B8" s="95">
        <f>B2*B4*B5*B6/(B1*B3)+B7</f>
        <v>4066939.2437299029</v>
      </c>
      <c r="C8" s="99">
        <f>B2*B4*B5/(B1*B3)+B7/B6</f>
        <v>288.43540735673071</v>
      </c>
      <c r="D8" s="99" t="s">
        <v>4274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4272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4273</v>
      </c>
      <c r="B10" s="95">
        <f>B9-B8</f>
        <v>283060.7562700971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4175</v>
      </c>
      <c r="J11" s="69" t="s">
        <v>4174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4217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-100</v>
      </c>
      <c r="C91" s="144">
        <f>$B$89/(1+(C$90/36500))^$B91</f>
        <v>3151615.5717418836</v>
      </c>
      <c r="D91" s="144">
        <f>$B$89/(1+(D$90/36500))^$B91</f>
        <v>3160257.5877279416</v>
      </c>
      <c r="E91" s="144">
        <f t="shared" ref="E91:K106" si="0">$B$89/(1+(E$90/36500))^$B91</f>
        <v>3168923.0632912689</v>
      </c>
      <c r="F91" s="144">
        <f t="shared" si="0"/>
        <v>3177612.061470137</v>
      </c>
      <c r="G91" s="144">
        <f t="shared" si="0"/>
        <v>3186324.6454703514</v>
      </c>
      <c r="H91" s="144">
        <f t="shared" si="0"/>
        <v>3195060.8786661243</v>
      </c>
      <c r="I91" s="144">
        <f t="shared" si="0"/>
        <v>3203820.8245999585</v>
      </c>
      <c r="J91" s="144">
        <f t="shared" si="0"/>
        <v>3212604.5469833519</v>
      </c>
      <c r="K91" s="144">
        <f>$B$89/(1+(K$90/36500))^$B91</f>
        <v>3221412.1096973075</v>
      </c>
      <c r="L91" s="99"/>
    </row>
    <row r="92" spans="1:12" x14ac:dyDescent="0.25">
      <c r="A92" s="145" t="s">
        <v>3860</v>
      </c>
      <c r="B92" s="91">
        <f>120-'اوراق بدون ریسک'!$AD$19</f>
        <v>-96</v>
      </c>
      <c r="C92" s="146">
        <f t="shared" ref="C92:K112" si="1">$B$89/(1+(C$90/36500))^$B92</f>
        <v>3145406.3433307335</v>
      </c>
      <c r="D92" s="146">
        <f t="shared" si="1"/>
        <v>3153685.8798014801</v>
      </c>
      <c r="E92" s="146">
        <f t="shared" si="0"/>
        <v>3161986.9825778753</v>
      </c>
      <c r="F92" s="146">
        <f t="shared" si="0"/>
        <v>3170309.7072423906</v>
      </c>
      <c r="G92" s="146">
        <f t="shared" si="0"/>
        <v>3178654.1095191031</v>
      </c>
      <c r="H92" s="146">
        <f t="shared" si="0"/>
        <v>3187020.2452744674</v>
      </c>
      <c r="I92" s="146">
        <f t="shared" si="0"/>
        <v>3195408.1705171387</v>
      </c>
      <c r="J92" s="146">
        <f t="shared" si="0"/>
        <v>3203817.9413985782</v>
      </c>
      <c r="K92" s="146">
        <f t="shared" si="0"/>
        <v>3212249.6142134829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-79</v>
      </c>
      <c r="C93" s="149">
        <f t="shared" si="1"/>
        <v>3119153.3088680967</v>
      </c>
      <c r="D93" s="149">
        <f t="shared" si="1"/>
        <v>3125908.2367777093</v>
      </c>
      <c r="E93" s="149">
        <f t="shared" si="0"/>
        <v>3132677.6077842047</v>
      </c>
      <c r="F93" s="149">
        <f t="shared" si="0"/>
        <v>3139461.4523724406</v>
      </c>
      <c r="G93" s="149">
        <f t="shared" si="0"/>
        <v>3146259.8010906889</v>
      </c>
      <c r="H93" s="149">
        <f t="shared" si="0"/>
        <v>3153072.6845510942</v>
      </c>
      <c r="I93" s="149">
        <f t="shared" si="0"/>
        <v>3159900.1334293764</v>
      </c>
      <c r="J93" s="149">
        <f t="shared" si="0"/>
        <v>3166742.1784651624</v>
      </c>
      <c r="K93" s="149">
        <f t="shared" si="0"/>
        <v>3173598.8504621712</v>
      </c>
      <c r="L93" s="144">
        <f t="shared" ref="L93:L114" si="2">$B$89/(1+(L$92/36500))^$B91</f>
        <v>3230243.5767927202</v>
      </c>
    </row>
    <row r="94" spans="1:12" x14ac:dyDescent="0.25">
      <c r="A94" s="150" t="s">
        <v>3862</v>
      </c>
      <c r="B94" s="151">
        <f>116-'اوراق بدون ریسک'!$AD$19</f>
        <v>-100</v>
      </c>
      <c r="C94" s="152">
        <f t="shared" si="1"/>
        <v>3151615.5717418836</v>
      </c>
      <c r="D94" s="152">
        <f t="shared" si="1"/>
        <v>3160257.5877279416</v>
      </c>
      <c r="E94" s="152">
        <f t="shared" si="0"/>
        <v>3168923.0632912689</v>
      </c>
      <c r="F94" s="152">
        <f t="shared" si="0"/>
        <v>3177612.061470137</v>
      </c>
      <c r="G94" s="152">
        <f t="shared" si="0"/>
        <v>3186324.6454703514</v>
      </c>
      <c r="H94" s="152">
        <f t="shared" si="0"/>
        <v>3195060.8786661243</v>
      </c>
      <c r="I94" s="152">
        <f t="shared" si="0"/>
        <v>3203820.8245999585</v>
      </c>
      <c r="J94" s="152">
        <f t="shared" si="0"/>
        <v>3212604.5469833519</v>
      </c>
      <c r="K94" s="152">
        <f t="shared" si="0"/>
        <v>3221412.1096973075</v>
      </c>
      <c r="L94" s="146">
        <f t="shared" si="2"/>
        <v>3220703.2454000842</v>
      </c>
    </row>
    <row r="95" spans="1:12" x14ac:dyDescent="0.25">
      <c r="A95" s="153" t="s">
        <v>3863</v>
      </c>
      <c r="B95" s="154">
        <f>167-'اوراق بدون ریسک'!$AD$19</f>
        <v>-49</v>
      </c>
      <c r="C95" s="155">
        <f t="shared" si="1"/>
        <v>3073357.8185127769</v>
      </c>
      <c r="D95" s="155">
        <f t="shared" si="1"/>
        <v>3077484.3738508406</v>
      </c>
      <c r="E95" s="155">
        <f t="shared" si="0"/>
        <v>3081616.3566345093</v>
      </c>
      <c r="F95" s="155">
        <f t="shared" si="0"/>
        <v>3085753.7738533146</v>
      </c>
      <c r="G95" s="155">
        <f t="shared" si="0"/>
        <v>3089896.6325055403</v>
      </c>
      <c r="H95" s="155">
        <f t="shared" si="0"/>
        <v>3094044.9395984351</v>
      </c>
      <c r="I95" s="155">
        <f t="shared" si="0"/>
        <v>3098198.7021479611</v>
      </c>
      <c r="J95" s="155">
        <f t="shared" si="0"/>
        <v>3102357.9271789291</v>
      </c>
      <c r="K95" s="155">
        <f t="shared" si="0"/>
        <v>3106522.6217250354</v>
      </c>
      <c r="L95" s="149">
        <f t="shared" si="2"/>
        <v>3180470.1802882901</v>
      </c>
    </row>
    <row r="96" spans="1:12" x14ac:dyDescent="0.25">
      <c r="A96" s="158" t="s">
        <v>3864</v>
      </c>
      <c r="B96" s="23">
        <f>181-'اوراق بدون ریسک'!$AD$19</f>
        <v>-35</v>
      </c>
      <c r="C96" s="159">
        <f t="shared" si="1"/>
        <v>3052217.293834981</v>
      </c>
      <c r="D96" s="159">
        <f t="shared" si="1"/>
        <v>3055143.9971337849</v>
      </c>
      <c r="E96" s="159">
        <f t="shared" si="0"/>
        <v>3058073.426527184</v>
      </c>
      <c r="F96" s="159">
        <f t="shared" si="0"/>
        <v>3061005.5844796645</v>
      </c>
      <c r="G96" s="159">
        <f t="shared" si="0"/>
        <v>3063940.4734578342</v>
      </c>
      <c r="H96" s="159">
        <f t="shared" si="0"/>
        <v>3066878.0959305628</v>
      </c>
      <c r="I96" s="159">
        <f t="shared" si="0"/>
        <v>3069818.4543688013</v>
      </c>
      <c r="J96" s="159">
        <f t="shared" si="0"/>
        <v>3072761.5512456717</v>
      </c>
      <c r="K96" s="159">
        <f t="shared" si="0"/>
        <v>3075707.3890364883</v>
      </c>
      <c r="L96" s="152">
        <f t="shared" si="2"/>
        <v>3230243.5767927202</v>
      </c>
    </row>
    <row r="97" spans="1:12" x14ac:dyDescent="0.25">
      <c r="A97" s="160" t="s">
        <v>3865</v>
      </c>
      <c r="B97" s="87">
        <f>197-'اوراق بدون ریسک'!$AD$19</f>
        <v>-19</v>
      </c>
      <c r="C97" s="140">
        <f t="shared" si="1"/>
        <v>3028234.698743063</v>
      </c>
      <c r="D97" s="140">
        <f t="shared" si="1"/>
        <v>3029810.6514665415</v>
      </c>
      <c r="E97" s="140">
        <f t="shared" si="0"/>
        <v>3031387.3811593023</v>
      </c>
      <c r="F97" s="140">
        <f t="shared" si="0"/>
        <v>3032964.8881831132</v>
      </c>
      <c r="G97" s="140">
        <f t="shared" si="0"/>
        <v>3034543.1728998786</v>
      </c>
      <c r="H97" s="140">
        <f t="shared" si="0"/>
        <v>3036122.2356717158</v>
      </c>
      <c r="I97" s="140">
        <f t="shared" si="0"/>
        <v>3037702.0768608563</v>
      </c>
      <c r="J97" s="140">
        <f t="shared" si="0"/>
        <v>3039282.6968296934</v>
      </c>
      <c r="K97" s="140">
        <f t="shared" si="0"/>
        <v>3040864.0959407929</v>
      </c>
      <c r="L97" s="155">
        <f t="shared" si="2"/>
        <v>3110692.7928288514</v>
      </c>
    </row>
    <row r="98" spans="1:12" x14ac:dyDescent="0.25">
      <c r="A98" s="161" t="s">
        <v>3866</v>
      </c>
      <c r="B98" s="23">
        <f>214-'اوراق بدون ریسک'!$AD$19</f>
        <v>-2</v>
      </c>
      <c r="C98" s="106">
        <f t="shared" si="1"/>
        <v>3002959.6337023829</v>
      </c>
      <c r="D98" s="106">
        <f t="shared" si="1"/>
        <v>3003124.1005817228</v>
      </c>
      <c r="E98" s="106">
        <f t="shared" si="0"/>
        <v>3003288.5719647217</v>
      </c>
      <c r="F98" s="106">
        <f t="shared" si="0"/>
        <v>3003453.04785138</v>
      </c>
      <c r="G98" s="106">
        <f t="shared" si="0"/>
        <v>3003617.5282416958</v>
      </c>
      <c r="H98" s="106">
        <f t="shared" si="0"/>
        <v>3003782.0131356721</v>
      </c>
      <c r="I98" s="106">
        <f t="shared" si="0"/>
        <v>3003946.5025333082</v>
      </c>
      <c r="J98" s="106">
        <f t="shared" si="0"/>
        <v>3004110.9964346034</v>
      </c>
      <c r="K98" s="106">
        <f t="shared" si="0"/>
        <v>3004275.4948395574</v>
      </c>
      <c r="L98" s="159">
        <f t="shared" si="2"/>
        <v>3078655.9702187395</v>
      </c>
    </row>
    <row r="99" spans="1:12" x14ac:dyDescent="0.25">
      <c r="A99" s="162" t="s">
        <v>3867</v>
      </c>
      <c r="B99" s="163">
        <f>272-'اوراق بدون ریسک'!$AD$19</f>
        <v>56</v>
      </c>
      <c r="C99" s="164">
        <f t="shared" si="1"/>
        <v>2918304.0933471466</v>
      </c>
      <c r="D99" s="164">
        <f t="shared" si="1"/>
        <v>2913832.3929863106</v>
      </c>
      <c r="E99" s="164">
        <f t="shared" si="0"/>
        <v>2909367.666751463</v>
      </c>
      <c r="F99" s="164">
        <f t="shared" si="0"/>
        <v>2904909.9035751373</v>
      </c>
      <c r="G99" s="164">
        <f t="shared" si="0"/>
        <v>2900459.0924077965</v>
      </c>
      <c r="H99" s="164">
        <f t="shared" si="0"/>
        <v>2896015.2222175817</v>
      </c>
      <c r="I99" s="164">
        <f t="shared" si="0"/>
        <v>2891578.2819905696</v>
      </c>
      <c r="J99" s="164">
        <f t="shared" si="0"/>
        <v>2887148.260730607</v>
      </c>
      <c r="K99" s="164">
        <f t="shared" si="0"/>
        <v>2882725.1474592537</v>
      </c>
      <c r="L99" s="140">
        <f t="shared" si="2"/>
        <v>3042446.2745568794</v>
      </c>
    </row>
    <row r="100" spans="1:12" x14ac:dyDescent="0.25">
      <c r="A100" s="147" t="s">
        <v>3868</v>
      </c>
      <c r="B100" s="148">
        <f>302-'اوراق بدون ریسک'!$AD$19</f>
        <v>86</v>
      </c>
      <c r="C100" s="149">
        <f t="shared" si="1"/>
        <v>2875457.4764204295</v>
      </c>
      <c r="D100" s="149">
        <f t="shared" si="1"/>
        <v>2868693.8253438743</v>
      </c>
      <c r="E100" s="149">
        <f t="shared" si="0"/>
        <v>2861946.2682808191</v>
      </c>
      <c r="F100" s="149">
        <f t="shared" si="0"/>
        <v>2855214.7664966621</v>
      </c>
      <c r="G100" s="149">
        <f t="shared" si="0"/>
        <v>2848499.2813511775</v>
      </c>
      <c r="H100" s="149">
        <f t="shared" si="0"/>
        <v>2841799.774297955</v>
      </c>
      <c r="I100" s="149">
        <f t="shared" si="0"/>
        <v>2835116.2068845932</v>
      </c>
      <c r="J100" s="149">
        <f t="shared" si="0"/>
        <v>2828448.5407522707</v>
      </c>
      <c r="K100" s="149">
        <f t="shared" si="0"/>
        <v>2821796.7376354639</v>
      </c>
      <c r="L100" s="106">
        <f t="shared" si="2"/>
        <v>3004439.997748171</v>
      </c>
    </row>
    <row r="101" spans="1:12" x14ac:dyDescent="0.25">
      <c r="A101" s="150" t="s">
        <v>3869</v>
      </c>
      <c r="B101" s="151">
        <f>319-'اوراق بدون ریسک'!$AD$19</f>
        <v>103</v>
      </c>
      <c r="C101" s="152">
        <f t="shared" si="1"/>
        <v>2851457.5616290164</v>
      </c>
      <c r="D101" s="152">
        <f t="shared" si="1"/>
        <v>2843426.3903290988</v>
      </c>
      <c r="E101" s="152">
        <f t="shared" si="0"/>
        <v>2835418.0579249351</v>
      </c>
      <c r="F101" s="152">
        <f t="shared" si="0"/>
        <v>2827432.4988449803</v>
      </c>
      <c r="G101" s="152">
        <f t="shared" si="0"/>
        <v>2819469.6477078465</v>
      </c>
      <c r="H101" s="152">
        <f t="shared" si="0"/>
        <v>2811529.4393213592</v>
      </c>
      <c r="I101" s="152">
        <f t="shared" si="0"/>
        <v>2803611.8086825064</v>
      </c>
      <c r="J101" s="152">
        <f t="shared" si="0"/>
        <v>2795716.6909766505</v>
      </c>
      <c r="K101" s="152">
        <f t="shared" si="0"/>
        <v>2787844.0215769149</v>
      </c>
      <c r="L101" s="164">
        <f t="shared" si="2"/>
        <v>2878308.9312157789</v>
      </c>
    </row>
    <row r="102" spans="1:12" x14ac:dyDescent="0.25">
      <c r="A102" s="147" t="s">
        <v>3870</v>
      </c>
      <c r="B102" s="148">
        <f>334-'اوراق بدون ریسک'!$AD$19</f>
        <v>118</v>
      </c>
      <c r="C102" s="149">
        <f t="shared" si="1"/>
        <v>2830447.5719670076</v>
      </c>
      <c r="D102" s="149">
        <f t="shared" si="1"/>
        <v>2821316.4798097247</v>
      </c>
      <c r="E102" s="149">
        <f t="shared" si="0"/>
        <v>2812215.0936003211</v>
      </c>
      <c r="F102" s="149">
        <f t="shared" si="0"/>
        <v>2803143.3158877459</v>
      </c>
      <c r="G102" s="149">
        <f t="shared" si="0"/>
        <v>2794101.0495434208</v>
      </c>
      <c r="H102" s="149">
        <f t="shared" si="0"/>
        <v>2785088.19775972</v>
      </c>
      <c r="I102" s="149">
        <f t="shared" si="0"/>
        <v>2776104.6640494759</v>
      </c>
      <c r="J102" s="149">
        <f t="shared" si="0"/>
        <v>2767150.3522446412</v>
      </c>
      <c r="K102" s="149">
        <f t="shared" si="0"/>
        <v>2758225.1664951546</v>
      </c>
      <c r="L102" s="149">
        <f t="shared" si="2"/>
        <v>2815160.7593617667</v>
      </c>
    </row>
    <row r="103" spans="1:12" x14ac:dyDescent="0.25">
      <c r="A103" s="150" t="s">
        <v>3871</v>
      </c>
      <c r="B103" s="151">
        <f>349-'اوراق بدون ریسک'!$AD$19</f>
        <v>133</v>
      </c>
      <c r="C103" s="152">
        <f t="shared" si="1"/>
        <v>2809592.3872270635</v>
      </c>
      <c r="D103" s="152">
        <f t="shared" si="1"/>
        <v>2799378.4914983031</v>
      </c>
      <c r="E103" s="152">
        <f t="shared" si="0"/>
        <v>2789202.0051749391</v>
      </c>
      <c r="F103" s="152">
        <f t="shared" si="0"/>
        <v>2779062.7902225852</v>
      </c>
      <c r="G103" s="152">
        <f t="shared" si="0"/>
        <v>2768960.7091200748</v>
      </c>
      <c r="H103" s="152">
        <f t="shared" si="0"/>
        <v>2758895.6248570471</v>
      </c>
      <c r="I103" s="152">
        <f t="shared" si="0"/>
        <v>2748867.4009326808</v>
      </c>
      <c r="J103" s="152">
        <f t="shared" si="0"/>
        <v>2738875.9013534798</v>
      </c>
      <c r="K103" s="152">
        <f t="shared" si="0"/>
        <v>2728920.990631301</v>
      </c>
      <c r="L103" s="152">
        <f t="shared" si="2"/>
        <v>2779993.7360436968</v>
      </c>
    </row>
    <row r="104" spans="1:12" x14ac:dyDescent="0.25">
      <c r="A104" s="162" t="s">
        <v>3872</v>
      </c>
      <c r="B104" s="163">
        <f>361-'اوراق بدون ریسک'!$AD$19</f>
        <v>145</v>
      </c>
      <c r="C104" s="164">
        <f t="shared" si="1"/>
        <v>2793018.9321946874</v>
      </c>
      <c r="D104" s="164">
        <f t="shared" si="1"/>
        <v>2781950.986137568</v>
      </c>
      <c r="E104" s="164">
        <f t="shared" si="0"/>
        <v>2770927.2004977707</v>
      </c>
      <c r="F104" s="164">
        <f t="shared" si="0"/>
        <v>2759947.3978759865</v>
      </c>
      <c r="G104" s="164">
        <f t="shared" si="0"/>
        <v>2749011.4015905331</v>
      </c>
      <c r="H104" s="164">
        <f t="shared" si="0"/>
        <v>2738119.0356738856</v>
      </c>
      <c r="I104" s="164">
        <f t="shared" si="0"/>
        <v>2727270.124870474</v>
      </c>
      <c r="J104" s="164">
        <f t="shared" si="0"/>
        <v>2716464.4946334572</v>
      </c>
      <c r="K104" s="164">
        <f t="shared" si="0"/>
        <v>2705701.9711217494</v>
      </c>
      <c r="L104" s="149">
        <f t="shared" si="2"/>
        <v>2749329.0112679503</v>
      </c>
    </row>
    <row r="105" spans="1:12" x14ac:dyDescent="0.25">
      <c r="A105" s="156" t="s">
        <v>3873</v>
      </c>
      <c r="B105" s="93">
        <f>372-'اوراق بدون ریسک'!$AD$19</f>
        <v>156</v>
      </c>
      <c r="C105" s="157">
        <f t="shared" si="1"/>
        <v>2777912.4962257505</v>
      </c>
      <c r="D105" s="157">
        <f t="shared" si="1"/>
        <v>2766071.0990472161</v>
      </c>
      <c r="E105" s="157">
        <f t="shared" si="0"/>
        <v>2754280.5003253412</v>
      </c>
      <c r="F105" s="157">
        <f t="shared" si="0"/>
        <v>2742540.4807575853</v>
      </c>
      <c r="G105" s="157">
        <f t="shared" si="0"/>
        <v>2730850.8219942949</v>
      </c>
      <c r="H105" s="157">
        <f t="shared" si="0"/>
        <v>2719211.3066339544</v>
      </c>
      <c r="I105" s="157">
        <f t="shared" si="0"/>
        <v>2707621.7182197962</v>
      </c>
      <c r="J105" s="157">
        <f t="shared" si="0"/>
        <v>2696081.8412353154</v>
      </c>
      <c r="K105" s="157">
        <f t="shared" si="0"/>
        <v>2684591.4611000721</v>
      </c>
      <c r="L105" s="152">
        <f t="shared" si="2"/>
        <v>2719002.533781535</v>
      </c>
    </row>
    <row r="106" spans="1:12" x14ac:dyDescent="0.25">
      <c r="A106" s="150" t="s">
        <v>3874</v>
      </c>
      <c r="B106" s="151">
        <f>391-'اوراق بدون ریسک'!$AD$19</f>
        <v>175</v>
      </c>
      <c r="C106" s="152">
        <f t="shared" si="1"/>
        <v>2752011.7552765496</v>
      </c>
      <c r="D106" s="152">
        <f t="shared" si="1"/>
        <v>2738855.4110221392</v>
      </c>
      <c r="E106" s="152">
        <f t="shared" si="0"/>
        <v>2725762.3200292015</v>
      </c>
      <c r="F106" s="152">
        <f t="shared" si="0"/>
        <v>2712732.1764682499</v>
      </c>
      <c r="G106" s="152">
        <f t="shared" si="0"/>
        <v>2699764.6759969792</v>
      </c>
      <c r="H106" s="152">
        <f t="shared" si="0"/>
        <v>2686859.5157523556</v>
      </c>
      <c r="I106" s="152">
        <f t="shared" si="0"/>
        <v>2674016.3943442111</v>
      </c>
      <c r="J106" s="152">
        <f t="shared" si="0"/>
        <v>2661235.0118476558</v>
      </c>
      <c r="K106" s="152">
        <f t="shared" si="0"/>
        <v>2648515.0697958153</v>
      </c>
      <c r="L106" s="164">
        <f t="shared" si="2"/>
        <v>2694982.3811972342</v>
      </c>
    </row>
    <row r="107" spans="1:12" x14ac:dyDescent="0.25">
      <c r="A107" s="156" t="s">
        <v>3875</v>
      </c>
      <c r="B107" s="93">
        <f>407-'اوراق بدون ریسک'!$AD$19</f>
        <v>191</v>
      </c>
      <c r="C107" s="157">
        <f t="shared" si="1"/>
        <v>2730388.0053068777</v>
      </c>
      <c r="D107" s="157">
        <f t="shared" si="1"/>
        <v>2716144.7397984196</v>
      </c>
      <c r="E107" s="157">
        <f t="shared" si="1"/>
        <v>2701976.1622792324</v>
      </c>
      <c r="F107" s="157">
        <f t="shared" si="1"/>
        <v>2687881.8790758126</v>
      </c>
      <c r="G107" s="157">
        <f t="shared" si="1"/>
        <v>2673861.4986005635</v>
      </c>
      <c r="H107" s="157">
        <f t="shared" si="1"/>
        <v>2659914.6313400003</v>
      </c>
      <c r="I107" s="157">
        <f t="shared" si="1"/>
        <v>2646040.8898445969</v>
      </c>
      <c r="J107" s="157">
        <f t="shared" si="1"/>
        <v>2632239.888717379</v>
      </c>
      <c r="K107" s="157">
        <f t="shared" si="1"/>
        <v>2618511.2446028832</v>
      </c>
      <c r="L107" s="157">
        <f t="shared" si="2"/>
        <v>2673150.3641656893</v>
      </c>
    </row>
    <row r="108" spans="1:12" x14ac:dyDescent="0.25">
      <c r="A108" s="147" t="s">
        <v>3876</v>
      </c>
      <c r="B108" s="148">
        <f>573-'اوراق بدون ریسک'!$AD$19</f>
        <v>357</v>
      </c>
      <c r="C108" s="149">
        <f t="shared" si="1"/>
        <v>2515825.2744309404</v>
      </c>
      <c r="D108" s="149">
        <f t="shared" si="1"/>
        <v>2491350.7259649639</v>
      </c>
      <c r="E108" s="149">
        <f t="shared" si="1"/>
        <v>2467114.9321646239</v>
      </c>
      <c r="F108" s="149">
        <f t="shared" si="1"/>
        <v>2443115.5574828465</v>
      </c>
      <c r="G108" s="149">
        <f t="shared" si="1"/>
        <v>2419350.2892827024</v>
      </c>
      <c r="H108" s="149">
        <f t="shared" si="1"/>
        <v>2395816.8376108902</v>
      </c>
      <c r="I108" s="149">
        <f t="shared" si="1"/>
        <v>2372512.9349761461</v>
      </c>
      <c r="J108" s="149">
        <f t="shared" si="1"/>
        <v>2349436.336127602</v>
      </c>
      <c r="K108" s="149">
        <f t="shared" si="1"/>
        <v>2326584.8178358609</v>
      </c>
      <c r="L108" s="152">
        <f t="shared" si="2"/>
        <v>2635856.2711727987</v>
      </c>
    </row>
    <row r="109" spans="1:12" x14ac:dyDescent="0.25">
      <c r="A109" s="156" t="s">
        <v>3877</v>
      </c>
      <c r="B109" s="93">
        <f>579-'اوراق بدون ریسک'!$AD$19</f>
        <v>363</v>
      </c>
      <c r="C109" s="157">
        <f t="shared" si="1"/>
        <v>2508394.0205051745</v>
      </c>
      <c r="D109" s="157">
        <f t="shared" si="1"/>
        <v>2483583.6780177415</v>
      </c>
      <c r="E109" s="157">
        <f t="shared" si="1"/>
        <v>2459019.402135381</v>
      </c>
      <c r="F109" s="157">
        <f t="shared" si="1"/>
        <v>2434698.7457551719</v>
      </c>
      <c r="G109" s="157">
        <f t="shared" si="1"/>
        <v>2410619.2861766927</v>
      </c>
      <c r="H109" s="157">
        <f t="shared" si="1"/>
        <v>2386778.6248568231</v>
      </c>
      <c r="I109" s="157">
        <f t="shared" si="1"/>
        <v>2363174.3871697588</v>
      </c>
      <c r="J109" s="157">
        <f t="shared" si="1"/>
        <v>2339804.2221671506</v>
      </c>
      <c r="K109" s="157">
        <f t="shared" si="1"/>
        <v>2316665.8023411958</v>
      </c>
      <c r="L109" s="157">
        <f t="shared" si="2"/>
        <v>2604854.5761763961</v>
      </c>
    </row>
    <row r="110" spans="1:12" x14ac:dyDescent="0.25">
      <c r="A110" s="150" t="s">
        <v>3878</v>
      </c>
      <c r="B110" s="151">
        <f>753-'اوراق بدون ریسک'!$AD$19</f>
        <v>537</v>
      </c>
      <c r="C110" s="152">
        <f t="shared" si="1"/>
        <v>2302178.0381667069</v>
      </c>
      <c r="D110" s="152">
        <f t="shared" si="1"/>
        <v>2268572.4847715832</v>
      </c>
      <c r="E110" s="152">
        <f t="shared" si="1"/>
        <v>2235458.3814073121</v>
      </c>
      <c r="F110" s="152">
        <f t="shared" si="1"/>
        <v>2202828.5279104877</v>
      </c>
      <c r="G110" s="152">
        <f t="shared" si="1"/>
        <v>2170675.8297995478</v>
      </c>
      <c r="H110" s="152">
        <f t="shared" si="1"/>
        <v>2138993.2967191911</v>
      </c>
      <c r="I110" s="152">
        <f t="shared" si="1"/>
        <v>2107774.0409113648</v>
      </c>
      <c r="J110" s="152">
        <f t="shared" si="1"/>
        <v>2077011.2757057489</v>
      </c>
      <c r="K110" s="152">
        <f t="shared" si="1"/>
        <v>2046698.3140331972</v>
      </c>
      <c r="L110" s="149">
        <f t="shared" si="2"/>
        <v>2303956.1786765964</v>
      </c>
    </row>
    <row r="111" spans="1:12" x14ac:dyDescent="0.25">
      <c r="A111" s="162" t="s">
        <v>3879</v>
      </c>
      <c r="B111" s="163">
        <f>757-'اوراق بدون ریسک'!$AD$19</f>
        <v>541</v>
      </c>
      <c r="C111" s="164">
        <f t="shared" si="1"/>
        <v>2297642.3487855908</v>
      </c>
      <c r="D111" s="164">
        <f t="shared" si="1"/>
        <v>2263855.0225502071</v>
      </c>
      <c r="E111" s="164">
        <f t="shared" si="1"/>
        <v>2230565.4510788708</v>
      </c>
      <c r="F111" s="164">
        <f t="shared" si="1"/>
        <v>2197766.2881207932</v>
      </c>
      <c r="G111" s="164">
        <f t="shared" si="1"/>
        <v>2165450.2960440177</v>
      </c>
      <c r="H111" s="164">
        <f t="shared" si="1"/>
        <v>2133610.3442249303</v>
      </c>
      <c r="I111" s="164">
        <f t="shared" si="1"/>
        <v>2102239.4074653294</v>
      </c>
      <c r="J111" s="164">
        <f t="shared" si="1"/>
        <v>2071330.5644299425</v>
      </c>
      <c r="K111" s="164">
        <f t="shared" si="1"/>
        <v>2040876.9961078598</v>
      </c>
      <c r="L111" s="157">
        <f t="shared" si="2"/>
        <v>2293756.8233904704</v>
      </c>
    </row>
    <row r="112" spans="1:12" x14ac:dyDescent="0.25">
      <c r="A112" s="147" t="s">
        <v>3880</v>
      </c>
      <c r="B112" s="148">
        <f>774-'اوراق بدون ریسک'!$AD$19</f>
        <v>558</v>
      </c>
      <c r="C112" s="149">
        <f t="shared" si="1"/>
        <v>2278465.1496636462</v>
      </c>
      <c r="D112" s="149">
        <f t="shared" si="1"/>
        <v>2243915.0034516877</v>
      </c>
      <c r="E112" s="149">
        <f t="shared" si="1"/>
        <v>2209889.6927131033</v>
      </c>
      <c r="F112" s="149">
        <f t="shared" si="1"/>
        <v>2176381.2308673477</v>
      </c>
      <c r="G112" s="149">
        <f t="shared" si="1"/>
        <v>2143381.7530822721</v>
      </c>
      <c r="H112" s="149">
        <f t="shared" si="1"/>
        <v>2110883.514413293</v>
      </c>
      <c r="I112" s="149">
        <f t="shared" si="1"/>
        <v>2078878.8879747777</v>
      </c>
      <c r="J112" s="149">
        <f t="shared" si="1"/>
        <v>2047360.3631362896</v>
      </c>
      <c r="K112" s="149">
        <f t="shared" si="1"/>
        <v>2016320.5437471778</v>
      </c>
      <c r="L112" s="152">
        <f t="shared" si="2"/>
        <v>2016828.5669615674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2010871.9842972804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1985752.1463888164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4255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4267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4199</v>
      </c>
      <c r="M20" t="s">
        <v>4035</v>
      </c>
      <c r="N20" t="s">
        <v>4200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4266</v>
      </c>
      <c r="B191" s="38">
        <v>-5000</v>
      </c>
      <c r="C191" s="73" t="s">
        <v>4267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L10" zoomScaleNormal="100" workbookViewId="0">
      <selection activeCell="AQ22" sqref="AQ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1079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-L78*12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4160</v>
      </c>
      <c r="AR6" s="99" t="s">
        <v>4191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4167</v>
      </c>
      <c r="AR7" s="99" t="s">
        <v>4192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4182</v>
      </c>
      <c r="AR8" s="99" t="s">
        <v>4193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Q14" t="s">
        <v>180</v>
      </c>
      <c r="R14" s="115" t="s">
        <v>4341</v>
      </c>
      <c r="S14" s="116" t="s">
        <v>939</v>
      </c>
      <c r="T14" s="116" t="s">
        <v>4342</v>
      </c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4196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Q15" t="s">
        <v>4334</v>
      </c>
      <c r="R15" s="172">
        <v>4270500</v>
      </c>
      <c r="S15" s="115">
        <v>10</v>
      </c>
      <c r="T15" s="116" t="s">
        <v>951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-مهر97!D72</f>
        <v>50352326</v>
      </c>
      <c r="M19" s="171" t="s">
        <v>4198</v>
      </c>
      <c r="N19" s="113">
        <f>O19*P19</f>
        <v>10498920.799999999</v>
      </c>
      <c r="O19" s="99">
        <v>48028</v>
      </c>
      <c r="P19" s="99">
        <f>P33</f>
        <v>218.6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4284</v>
      </c>
      <c r="N20" s="113">
        <f>O20*P20</f>
        <v>73236.599999999991</v>
      </c>
      <c r="O20" s="99">
        <v>174</v>
      </c>
      <c r="P20" s="99">
        <f>P35</f>
        <v>420.9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198</v>
      </c>
      <c r="AK20" s="113">
        <f>AH20*AJ20</f>
        <v>3564000000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L47</f>
        <v>284194528</v>
      </c>
      <c r="G21" s="29">
        <f t="shared" si="0"/>
        <v>-22194528</v>
      </c>
      <c r="H21" s="11" t="s">
        <v>4221</v>
      </c>
      <c r="J21" s="25"/>
      <c r="K21" s="171" t="s">
        <v>456</v>
      </c>
      <c r="L21" s="117">
        <v>517000</v>
      </c>
      <c r="M21" s="171" t="s">
        <v>4299</v>
      </c>
      <c r="N21" s="113">
        <f>O21*P21</f>
        <v>60744.5</v>
      </c>
      <c r="O21" s="99">
        <v>155</v>
      </c>
      <c r="P21" s="99">
        <f>P36</f>
        <v>391.9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197</v>
      </c>
      <c r="AK21" s="113">
        <f t="shared" ref="AK21:AK82" si="5">AH21*AJ21</f>
        <v>492500000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4270000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196</v>
      </c>
      <c r="AK22" s="113">
        <f t="shared" si="5"/>
        <v>1568000000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-50352326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195</v>
      </c>
      <c r="AK23" s="113">
        <f t="shared" si="5"/>
        <v>-15512640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194</v>
      </c>
      <c r="AK24" s="113">
        <f t="shared" si="5"/>
        <v>32107000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277550000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182</v>
      </c>
      <c r="AK25" s="113">
        <f t="shared" si="5"/>
        <v>-5247119514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 t="s">
        <v>4339</v>
      </c>
      <c r="N26" s="113">
        <v>13117529</v>
      </c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176</v>
      </c>
      <c r="AK26" s="113">
        <f t="shared" si="5"/>
        <v>3256000000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65*R22</f>
        <v>277550000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175</v>
      </c>
      <c r="AK27" s="113">
        <f t="shared" si="5"/>
        <v>-3246250000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4291</v>
      </c>
      <c r="L28" s="117">
        <v>65000</v>
      </c>
      <c r="M28" s="171" t="s">
        <v>4203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174</v>
      </c>
      <c r="AK28" s="113">
        <f t="shared" si="5"/>
        <v>-11303214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4333</v>
      </c>
      <c r="L29" s="117">
        <v>-113000</v>
      </c>
      <c r="M29" s="171" t="s">
        <v>4204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169</v>
      </c>
      <c r="AK29" s="113">
        <f t="shared" si="5"/>
        <v>1081600000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41759077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168</v>
      </c>
      <c r="AK30" s="113">
        <f t="shared" si="5"/>
        <v>-28560000</v>
      </c>
      <c r="AL30" s="99"/>
      <c r="AN30" s="96"/>
      <c r="AO30" s="99" t="s">
        <v>1136</v>
      </c>
      <c r="AP30" s="99" t="s">
        <v>4257</v>
      </c>
      <c r="AQ30" s="99" t="s">
        <v>939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163</v>
      </c>
      <c r="AK31" s="113">
        <f t="shared" si="5"/>
        <v>-1026900000</v>
      </c>
      <c r="AL31" s="99"/>
      <c r="AN31" s="96"/>
      <c r="AO31" s="99">
        <v>1</v>
      </c>
      <c r="AP31" s="172" t="s">
        <v>4258</v>
      </c>
      <c r="AQ31" s="99">
        <v>18290</v>
      </c>
      <c r="AR31" s="99" t="s">
        <v>4182</v>
      </c>
      <c r="AS31" s="99" t="s">
        <v>4259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188746884</v>
      </c>
      <c r="R32" s="171" t="s">
        <v>4182</v>
      </c>
      <c r="S32" s="171">
        <v>30</v>
      </c>
      <c r="T32" s="171" t="s">
        <v>4337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162</v>
      </c>
      <c r="AK32" s="113">
        <f t="shared" si="5"/>
        <v>-8426430</v>
      </c>
      <c r="AL32" s="99"/>
      <c r="AN32" s="96"/>
      <c r="AO32" s="99">
        <v>2</v>
      </c>
      <c r="AP32" s="172" t="s">
        <v>4258</v>
      </c>
      <c r="AQ32" s="99">
        <v>24813</v>
      </c>
      <c r="AR32" s="99" t="s">
        <v>4255</v>
      </c>
      <c r="AS32" s="99" t="s">
        <v>4260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4189</v>
      </c>
      <c r="N33" s="113">
        <f t="shared" ref="N33:N38" si="6">O33*P33</f>
        <v>214478515.59999999</v>
      </c>
      <c r="O33" s="99">
        <v>981146</v>
      </c>
      <c r="P33" s="99">
        <v>218.6</v>
      </c>
      <c r="Q33" s="172">
        <v>3759803</v>
      </c>
      <c r="R33" s="171" t="s">
        <v>4277</v>
      </c>
      <c r="S33" s="171">
        <f>S32-21</f>
        <v>9</v>
      </c>
      <c r="T33" s="171" t="s">
        <v>4288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146</v>
      </c>
      <c r="AK33" s="113">
        <f t="shared" si="5"/>
        <v>2922540400</v>
      </c>
      <c r="AL33" s="99"/>
      <c r="AN33" s="96"/>
      <c r="AO33" s="99">
        <v>3</v>
      </c>
      <c r="AP33" s="172" t="s">
        <v>4258</v>
      </c>
      <c r="AQ33" s="99">
        <v>26189</v>
      </c>
      <c r="AR33" s="99" t="s">
        <v>4277</v>
      </c>
      <c r="AS33" s="99" t="s">
        <v>4278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4276</v>
      </c>
      <c r="N34" s="113">
        <f t="shared" si="6"/>
        <v>4298987.5999999996</v>
      </c>
      <c r="O34" s="99">
        <v>19666</v>
      </c>
      <c r="P34" s="99">
        <f>P33</f>
        <v>218.6</v>
      </c>
      <c r="Q34" s="172">
        <v>57680</v>
      </c>
      <c r="R34" s="171" t="s">
        <v>4281</v>
      </c>
      <c r="S34" s="171">
        <f>S33-2</f>
        <v>7</v>
      </c>
      <c r="T34" s="171" t="s">
        <v>4287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146</v>
      </c>
      <c r="AK34" s="113">
        <f t="shared" si="5"/>
        <v>148112036</v>
      </c>
      <c r="AL34" s="99"/>
      <c r="AN34" s="96"/>
      <c r="AO34" s="185"/>
      <c r="AP34" s="186" t="s">
        <v>4261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56"/>
      <c r="L35" s="117"/>
      <c r="M35" s="99" t="s">
        <v>4284</v>
      </c>
      <c r="N35" s="113">
        <f t="shared" si="6"/>
        <v>73236.599999999991</v>
      </c>
      <c r="O35" s="99">
        <v>174</v>
      </c>
      <c r="P35" s="99">
        <v>420.9</v>
      </c>
      <c r="Q35" s="172">
        <v>54501</v>
      </c>
      <c r="R35" s="171" t="s">
        <v>4298</v>
      </c>
      <c r="S35" s="171">
        <f>S34-2</f>
        <v>5</v>
      </c>
      <c r="T35" s="171" t="s">
        <v>4297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134</v>
      </c>
      <c r="AK35" s="113">
        <f t="shared" si="5"/>
        <v>48240000</v>
      </c>
      <c r="AL35" s="99"/>
      <c r="AN35" s="96"/>
      <c r="AO35" s="185"/>
      <c r="AP35" s="186" t="s">
        <v>4258</v>
      </c>
      <c r="AQ35" s="185">
        <v>19666</v>
      </c>
      <c r="AR35" s="185" t="s">
        <v>4277</v>
      </c>
      <c r="AS35" s="185" t="s">
        <v>4279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366196750.44670284</v>
      </c>
      <c r="F36" s="3"/>
      <c r="G36" s="11"/>
      <c r="H36" s="11"/>
      <c r="K36" s="56"/>
      <c r="L36" s="117"/>
      <c r="M36" s="99" t="s">
        <v>4299</v>
      </c>
      <c r="N36" s="113">
        <f t="shared" si="6"/>
        <v>60744.5</v>
      </c>
      <c r="O36" s="187">
        <v>155</v>
      </c>
      <c r="P36" s="99">
        <v>391.9</v>
      </c>
      <c r="Q36" s="172">
        <v>1730284</v>
      </c>
      <c r="R36" s="171" t="s">
        <v>4313</v>
      </c>
      <c r="S36" s="171">
        <f>S35-3</f>
        <v>2</v>
      </c>
      <c r="T36" s="171" t="s">
        <v>4314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132</v>
      </c>
      <c r="AK36" s="113">
        <f t="shared" si="5"/>
        <v>-46200000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374373315.81956631</v>
      </c>
      <c r="F37" s="3"/>
      <c r="G37" s="11"/>
      <c r="H37" s="11"/>
      <c r="K37" s="56"/>
      <c r="L37" s="117"/>
      <c r="M37" s="99" t="s">
        <v>4315</v>
      </c>
      <c r="N37" s="113">
        <f t="shared" si="6"/>
        <v>4132300</v>
      </c>
      <c r="O37" s="69">
        <v>62</v>
      </c>
      <c r="P37" s="69">
        <v>66650</v>
      </c>
      <c r="Q37" s="172">
        <v>2395735</v>
      </c>
      <c r="R37" s="171" t="s">
        <v>4324</v>
      </c>
      <c r="S37" s="171">
        <f>S36-1</f>
        <v>1</v>
      </c>
      <c r="T37" s="171" t="s">
        <v>4335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132</v>
      </c>
      <c r="AK37" s="113">
        <f t="shared" si="5"/>
        <v>132000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382721938.80352634</v>
      </c>
      <c r="F38" s="3"/>
      <c r="G38" s="11"/>
      <c r="H38" s="11"/>
      <c r="K38" s="56"/>
      <c r="L38" s="117"/>
      <c r="M38" s="99" t="s">
        <v>966</v>
      </c>
      <c r="N38" s="113">
        <f t="shared" si="6"/>
        <v>16020000</v>
      </c>
      <c r="O38" s="69">
        <v>200</v>
      </c>
      <c r="P38" s="69">
        <v>80100</v>
      </c>
      <c r="Q38" s="172">
        <v>17224360</v>
      </c>
      <c r="R38" s="171" t="s">
        <v>4334</v>
      </c>
      <c r="S38" s="171">
        <f>S37-1</f>
        <v>0</v>
      </c>
      <c r="T38" s="171" t="s">
        <v>4336</v>
      </c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131</v>
      </c>
      <c r="AK38" s="113">
        <f t="shared" si="5"/>
        <v>4402910000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391246145.81384128</v>
      </c>
      <c r="F39" s="3"/>
      <c r="G39" s="11"/>
      <c r="H39" s="11"/>
      <c r="K39" s="99"/>
      <c r="L39" s="99"/>
      <c r="M39" s="99"/>
      <c r="N39" s="99"/>
      <c r="Q39" s="172"/>
      <c r="R39" s="171"/>
      <c r="S39" s="171"/>
      <c r="T39" s="171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127</v>
      </c>
      <c r="AK39" s="113">
        <f t="shared" si="5"/>
        <v>-1981200000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399949534.64670491</v>
      </c>
      <c r="F40" s="3"/>
      <c r="G40" s="11"/>
      <c r="H40" s="11"/>
      <c r="K40" s="99"/>
      <c r="L40" s="99"/>
      <c r="M40" s="73" t="s">
        <v>4262</v>
      </c>
      <c r="N40" s="117">
        <v>-11316095</v>
      </c>
      <c r="O40" s="96"/>
      <c r="P40" s="96"/>
      <c r="Q40" s="113">
        <f>SUM(N31:N38)-SUM(Q32:Q38)</f>
        <v>25094537.299999982</v>
      </c>
      <c r="R40" s="112"/>
      <c r="S40" s="112"/>
      <c r="T40" s="112"/>
      <c r="U40" s="96"/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124</v>
      </c>
      <c r="AK40" s="113">
        <f t="shared" si="5"/>
        <v>930000000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408835775.91539168</v>
      </c>
      <c r="F41" s="3"/>
      <c r="G41" s="11"/>
      <c r="H41" s="11"/>
      <c r="K41" s="99"/>
      <c r="L41" s="99"/>
      <c r="M41" s="73"/>
      <c r="N41" s="117"/>
      <c r="O41" s="96" t="s">
        <v>25</v>
      </c>
      <c r="Q41" s="26"/>
      <c r="R41" s="188"/>
      <c r="S41" s="188"/>
      <c r="T41" t="s">
        <v>25</v>
      </c>
      <c r="U41" s="96"/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120</v>
      </c>
      <c r="AK41" s="113">
        <f t="shared" si="5"/>
        <v>-11760000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417908614.51520973</v>
      </c>
      <c r="F42" s="3"/>
      <c r="G42" s="11"/>
      <c r="H42" s="11"/>
      <c r="K42" s="99"/>
      <c r="L42" s="99"/>
      <c r="M42" s="171" t="s">
        <v>1156</v>
      </c>
      <c r="N42" s="117">
        <v>14908</v>
      </c>
      <c r="O42" s="96" t="s">
        <v>25</v>
      </c>
      <c r="P42" t="s">
        <v>25</v>
      </c>
      <c r="R42" t="s">
        <v>25</v>
      </c>
      <c r="T42" t="s">
        <v>25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119</v>
      </c>
      <c r="AK42" s="113">
        <f t="shared" si="5"/>
        <v>-3094000000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427171871.11783922</v>
      </c>
      <c r="F43" s="3"/>
      <c r="G43" s="11"/>
      <c r="H43" s="11"/>
      <c r="K43" s="99"/>
      <c r="L43" s="99"/>
      <c r="M43" s="171" t="s">
        <v>1157</v>
      </c>
      <c r="N43" s="117">
        <v>5282</v>
      </c>
      <c r="O43" s="96"/>
      <c r="Q43" t="s">
        <v>25</v>
      </c>
      <c r="R43" t="s">
        <v>25</v>
      </c>
      <c r="T43" t="s">
        <v>951</v>
      </c>
      <c r="U43">
        <v>6.3E-3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119</v>
      </c>
      <c r="AK43" s="113">
        <f t="shared" si="5"/>
        <v>2975000000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436629443.69564456</v>
      </c>
      <c r="F44" s="3"/>
      <c r="G44" s="11"/>
      <c r="H44" s="11"/>
      <c r="K44" s="171"/>
      <c r="L44" s="117"/>
      <c r="M44" s="171"/>
      <c r="N44" s="113"/>
      <c r="O44" s="115"/>
      <c r="P44" s="115"/>
      <c r="Q44" t="s">
        <v>25</v>
      </c>
      <c r="S44" t="s">
        <v>25</v>
      </c>
      <c r="T44" t="s">
        <v>61</v>
      </c>
      <c r="U44">
        <v>4.8999999999999998E-3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118</v>
      </c>
      <c r="AK44" s="113">
        <f t="shared" si="5"/>
        <v>12980000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446285309.07656044</v>
      </c>
      <c r="F45" s="3"/>
      <c r="G45" s="11"/>
      <c r="H45" s="11"/>
      <c r="K45" s="171" t="s">
        <v>25</v>
      </c>
      <c r="L45" s="117"/>
      <c r="M45" s="171" t="s">
        <v>4190</v>
      </c>
      <c r="N45" s="113">
        <f>-O45*P45</f>
        <v>-20198202.800000001</v>
      </c>
      <c r="O45" s="99">
        <v>92398</v>
      </c>
      <c r="P45" s="99">
        <f>P33</f>
        <v>218.6</v>
      </c>
      <c r="Q45" s="96">
        <f>O33+O34+O19-O45</f>
        <v>956442</v>
      </c>
      <c r="R45" s="113">
        <f>Q45*P33+N19</f>
        <v>219577142</v>
      </c>
      <c r="S45" t="s">
        <v>25</v>
      </c>
      <c r="T45" t="s">
        <v>6</v>
      </c>
      <c r="U45">
        <f>U43+U44</f>
        <v>1.12E-2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117</v>
      </c>
      <c r="AK45" s="113">
        <f t="shared" si="5"/>
        <v>44460000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456143524.53016472</v>
      </c>
      <c r="F46" s="3"/>
      <c r="G46" s="11"/>
      <c r="H46" s="11"/>
      <c r="K46" s="171"/>
      <c r="L46" s="117"/>
      <c r="M46" s="171"/>
      <c r="N46" s="113"/>
      <c r="O46" s="96"/>
      <c r="P46" s="96"/>
      <c r="Q46" t="s">
        <v>4295</v>
      </c>
      <c r="R46" t="s">
        <v>4292</v>
      </c>
      <c r="T46" t="s">
        <v>25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110</v>
      </c>
      <c r="AK46" s="113">
        <f t="shared" si="5"/>
        <v>49500000</v>
      </c>
      <c r="AL46" s="99"/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466208229.38556182</v>
      </c>
      <c r="F47" s="3"/>
      <c r="G47" s="11"/>
      <c r="H47" s="11"/>
      <c r="K47" s="171" t="s">
        <v>598</v>
      </c>
      <c r="L47" s="113">
        <f>SUM(L16:L39)</f>
        <v>284194528</v>
      </c>
      <c r="M47" s="171"/>
      <c r="N47" s="113">
        <f>SUM(N16:N46)</f>
        <v>427128908.40000004</v>
      </c>
      <c r="O47" t="s">
        <v>25</v>
      </c>
      <c r="R47" t="s">
        <v>25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104</v>
      </c>
      <c r="AK47" s="113">
        <f t="shared" si="5"/>
        <v>291200000</v>
      </c>
      <c r="AL47" s="99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171" t="s">
        <v>599</v>
      </c>
      <c r="L48" s="113">
        <f>L16+L17+L21</f>
        <v>540202</v>
      </c>
      <c r="M48" s="171"/>
      <c r="N48" s="113">
        <f>N16+N17+N24</f>
        <v>-7383645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103</v>
      </c>
      <c r="AK48" s="113">
        <f t="shared" si="5"/>
        <v>-154500000</v>
      </c>
      <c r="AL48" s="99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486974084.8508752</v>
      </c>
      <c r="F49" s="3"/>
      <c r="G49" s="11"/>
      <c r="H49" s="11"/>
      <c r="K49" s="56" t="s">
        <v>716</v>
      </c>
      <c r="L49" s="1">
        <f>L47+N7</f>
        <v>354194528</v>
      </c>
      <c r="M49" s="113"/>
      <c r="N49" s="171"/>
      <c r="O49" s="22"/>
      <c r="P49" t="s">
        <v>25</v>
      </c>
      <c r="T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103</v>
      </c>
      <c r="AK49" s="113">
        <f t="shared" si="5"/>
        <v>314150000</v>
      </c>
      <c r="AL49" s="99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497683939.43577409</v>
      </c>
      <c r="F50" s="51"/>
      <c r="G50" s="11"/>
      <c r="H50" s="11"/>
      <c r="M50" t="s">
        <v>4326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100</v>
      </c>
      <c r="AK50" s="113">
        <f t="shared" si="5"/>
        <v>-829961200</v>
      </c>
      <c r="AL50" s="99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508617694.84124976</v>
      </c>
      <c r="F51" s="3"/>
      <c r="G51" s="11"/>
      <c r="H51" s="11"/>
      <c r="M51" s="25" t="s">
        <v>4118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98</v>
      </c>
      <c r="AK51" s="113">
        <f t="shared" si="5"/>
        <v>490000000</v>
      </c>
      <c r="AL51" s="99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519779926.12100261</v>
      </c>
      <c r="F52" s="3"/>
      <c r="G52" s="11"/>
      <c r="H52" s="11"/>
      <c r="M52" s="25" t="s">
        <v>4086</v>
      </c>
      <c r="P52" t="s">
        <v>25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84</v>
      </c>
      <c r="AK52" s="113">
        <f t="shared" si="5"/>
        <v>-7560000</v>
      </c>
      <c r="AL52" s="99"/>
    </row>
    <row r="53" spans="1:38" ht="30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531175300.80017978</v>
      </c>
      <c r="F53" s="3"/>
      <c r="G53" s="11"/>
      <c r="H53" s="11"/>
      <c r="M53" s="180" t="s">
        <v>4122</v>
      </c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83</v>
      </c>
      <c r="AK53" s="113">
        <f t="shared" si="5"/>
        <v>464800000</v>
      </c>
      <c r="AL53" s="99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542808580.73450804</v>
      </c>
      <c r="F54" s="3"/>
      <c r="G54" s="11"/>
      <c r="H54" s="11"/>
      <c r="K54" s="3"/>
      <c r="L54" s="11" t="s">
        <v>304</v>
      </c>
      <c r="M54" s="122"/>
      <c r="N54" s="96"/>
      <c r="P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79</v>
      </c>
      <c r="AK54" s="113">
        <f t="shared" si="5"/>
        <v>59250000</v>
      </c>
      <c r="AL54" s="99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554684624.00670612</v>
      </c>
      <c r="F55" s="3"/>
      <c r="G55" s="11"/>
      <c r="H55" s="11"/>
      <c r="K55" s="1" t="s">
        <v>305</v>
      </c>
      <c r="L55" s="1">
        <v>70000</v>
      </c>
      <c r="M55" s="122" t="s">
        <v>4327</v>
      </c>
      <c r="N55" s="96" t="s">
        <v>25</v>
      </c>
      <c r="P55" s="115"/>
      <c r="Q55" s="115"/>
      <c r="R55" s="115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77</v>
      </c>
      <c r="AK55" s="173">
        <f t="shared" si="5"/>
        <v>-326634000</v>
      </c>
      <c r="AL55" s="174" t="s">
        <v>4068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566808386.86092329</v>
      </c>
      <c r="F56" s="3"/>
      <c r="G56" s="11"/>
      <c r="H56" s="11"/>
      <c r="K56" s="1" t="s">
        <v>321</v>
      </c>
      <c r="L56" s="1">
        <v>100000</v>
      </c>
      <c r="M56" s="122" t="s">
        <v>4328</v>
      </c>
      <c r="P56" s="115"/>
      <c r="Q56" s="188"/>
      <c r="R56" s="188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75</v>
      </c>
      <c r="AK56" s="113">
        <f t="shared" si="5"/>
        <v>307500000</v>
      </c>
      <c r="AL56" s="99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579184925.67596567</v>
      </c>
      <c r="F57" s="3"/>
      <c r="G57" s="11"/>
      <c r="H57" s="11"/>
      <c r="K57" s="1" t="s">
        <v>306</v>
      </c>
      <c r="L57" s="1">
        <v>80000</v>
      </c>
      <c r="M57" s="122" t="s">
        <v>4329</v>
      </c>
      <c r="P57" s="115"/>
      <c r="Q57" s="188"/>
      <c r="R57" s="188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75</v>
      </c>
      <c r="AK57" s="113">
        <f t="shared" si="5"/>
        <v>307500000</v>
      </c>
      <c r="AL57" s="99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591819398.97808707</v>
      </c>
      <c r="F58" s="3"/>
      <c r="G58" s="11"/>
      <c r="H58" s="11"/>
      <c r="K58" s="31" t="s">
        <v>307</v>
      </c>
      <c r="L58" s="1">
        <v>150000</v>
      </c>
      <c r="M58" s="122" t="s">
        <v>4330</v>
      </c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74</v>
      </c>
      <c r="AK58" s="113">
        <f t="shared" si="5"/>
        <v>58460000</v>
      </c>
      <c r="AL58" s="99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604717069.49413705</v>
      </c>
      <c r="F59" s="3"/>
      <c r="G59" s="11"/>
      <c r="H59" s="11"/>
      <c r="K59" s="31" t="s">
        <v>308</v>
      </c>
      <c r="L59" s="1">
        <v>300000</v>
      </c>
      <c r="M59" s="193" t="s">
        <v>4331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59</v>
      </c>
      <c r="AK59" s="175">
        <f t="shared" si="5"/>
        <v>-228035000</v>
      </c>
      <c r="AL59" s="174" t="s">
        <v>4069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617883306.24587286</v>
      </c>
      <c r="F60" s="3"/>
      <c r="G60" s="11"/>
      <c r="H60" s="11"/>
      <c r="K60" s="31" t="s">
        <v>309</v>
      </c>
      <c r="L60" s="1">
        <v>100000</v>
      </c>
      <c r="M60" s="194" t="s">
        <v>4338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53</v>
      </c>
      <c r="AK60" s="113">
        <f t="shared" si="5"/>
        <v>996400000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631323586.68626177</v>
      </c>
      <c r="F61" s="3"/>
      <c r="G61" s="11"/>
      <c r="H61" s="11"/>
      <c r="K61" s="31" t="s">
        <v>310</v>
      </c>
      <c r="L61" s="1">
        <v>200000</v>
      </c>
      <c r="M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50</v>
      </c>
      <c r="AK61" s="113">
        <f t="shared" si="5"/>
        <v>25000000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645043498.87861323</v>
      </c>
      <c r="F62" s="3"/>
      <c r="G62" s="11"/>
      <c r="H62" s="11"/>
      <c r="K62" s="18" t="s">
        <v>311</v>
      </c>
      <c r="L62" s="18">
        <v>300000</v>
      </c>
      <c r="M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49</v>
      </c>
      <c r="AK62" s="113">
        <f t="shared" si="5"/>
        <v>9800000</v>
      </c>
      <c r="AL62" s="20"/>
    </row>
    <row r="63" spans="1:38" x14ac:dyDescent="0.25">
      <c r="E63" s="26"/>
      <c r="K63" s="32" t="s">
        <v>312</v>
      </c>
      <c r="L63" s="1">
        <v>200000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46</v>
      </c>
      <c r="AK63" s="113">
        <f t="shared" si="5"/>
        <v>46000000</v>
      </c>
      <c r="AL63" s="20"/>
    </row>
    <row r="64" spans="1:38" x14ac:dyDescent="0.25">
      <c r="E64" s="26"/>
      <c r="K64" s="32" t="s">
        <v>313</v>
      </c>
      <c r="L64" s="1">
        <v>20000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43</v>
      </c>
      <c r="AK64" s="113">
        <f t="shared" si="5"/>
        <v>55900000</v>
      </c>
      <c r="AL64" s="20"/>
    </row>
    <row r="65" spans="1:38" x14ac:dyDescent="0.25">
      <c r="K65" s="32" t="s">
        <v>315</v>
      </c>
      <c r="L65" s="1">
        <v>50000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0">AJ66+AI65</f>
        <v>43</v>
      </c>
      <c r="AK65" s="113">
        <f t="shared" si="5"/>
        <v>42785000</v>
      </c>
      <c r="AL65" s="20"/>
    </row>
    <row r="66" spans="1:38" x14ac:dyDescent="0.25">
      <c r="K66" s="32" t="s">
        <v>316</v>
      </c>
      <c r="L66" s="1">
        <v>90000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0"/>
        <v>41</v>
      </c>
      <c r="AK66" s="113">
        <f t="shared" si="5"/>
        <v>533000000</v>
      </c>
      <c r="AL66" s="20"/>
    </row>
    <row r="67" spans="1:38" x14ac:dyDescent="0.25">
      <c r="A67" t="s">
        <v>25</v>
      </c>
      <c r="F67" t="s">
        <v>310</v>
      </c>
      <c r="G67" t="s">
        <v>4105</v>
      </c>
      <c r="K67" s="32" t="s">
        <v>317</v>
      </c>
      <c r="L67" s="1">
        <v>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0"/>
        <v>39</v>
      </c>
      <c r="AK67" s="113">
        <f t="shared" si="5"/>
        <v>-120900000</v>
      </c>
      <c r="AL67" s="20"/>
    </row>
    <row r="68" spans="1:38" x14ac:dyDescent="0.25">
      <c r="F68" t="s">
        <v>4109</v>
      </c>
      <c r="G68" t="s">
        <v>4104</v>
      </c>
      <c r="K68" s="32" t="s">
        <v>327</v>
      </c>
      <c r="L68" s="1">
        <v>150000</v>
      </c>
      <c r="M68" s="96"/>
      <c r="N68" s="96"/>
      <c r="O68" s="96"/>
      <c r="P68" s="115"/>
      <c r="Q68" s="115"/>
      <c r="R68" s="115"/>
      <c r="S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0"/>
        <v>36</v>
      </c>
      <c r="AK68" s="113">
        <f t="shared" si="5"/>
        <v>1643040000</v>
      </c>
      <c r="AL68" s="20"/>
    </row>
    <row r="69" spans="1:38" x14ac:dyDescent="0.25">
      <c r="F69" t="s">
        <v>4110</v>
      </c>
      <c r="G69" t="s">
        <v>4106</v>
      </c>
      <c r="K69" s="32" t="s">
        <v>318</v>
      </c>
      <c r="L69" s="1">
        <v>15000</v>
      </c>
      <c r="N69" s="96"/>
      <c r="P69" s="115"/>
      <c r="Q69" s="115"/>
      <c r="R69" s="115"/>
      <c r="S69" s="115"/>
      <c r="W69" s="115"/>
      <c r="AF69" s="20">
        <v>49</v>
      </c>
      <c r="AG69" s="117" t="s">
        <v>4161</v>
      </c>
      <c r="AH69" s="117">
        <v>33500000</v>
      </c>
      <c r="AI69" s="20">
        <v>1</v>
      </c>
      <c r="AJ69" s="99">
        <f t="shared" si="10"/>
        <v>35</v>
      </c>
      <c r="AK69" s="113">
        <f t="shared" si="5"/>
        <v>1172500000</v>
      </c>
      <c r="AL69" s="20"/>
    </row>
    <row r="70" spans="1:38" x14ac:dyDescent="0.25">
      <c r="G70" t="s">
        <v>4107</v>
      </c>
      <c r="K70" s="32" t="s">
        <v>319</v>
      </c>
      <c r="L70" s="1">
        <v>20000</v>
      </c>
      <c r="N70" s="96"/>
      <c r="P70" s="115"/>
      <c r="Q70" s="115"/>
      <c r="R70" s="115"/>
      <c r="S70" s="115"/>
      <c r="T70" s="115"/>
      <c r="W70" s="165"/>
      <c r="AF70" s="20">
        <v>50</v>
      </c>
      <c r="AG70" s="117" t="s">
        <v>4166</v>
      </c>
      <c r="AH70" s="117">
        <v>12000000</v>
      </c>
      <c r="AI70" s="20">
        <v>1</v>
      </c>
      <c r="AJ70" s="99">
        <f t="shared" si="10"/>
        <v>34</v>
      </c>
      <c r="AK70" s="117">
        <f t="shared" si="5"/>
        <v>408000000</v>
      </c>
      <c r="AL70" s="20"/>
    </row>
    <row r="71" spans="1:38" x14ac:dyDescent="0.25">
      <c r="G71" t="s">
        <v>4108</v>
      </c>
      <c r="K71" s="32" t="s">
        <v>320</v>
      </c>
      <c r="L71" s="1">
        <v>40000</v>
      </c>
      <c r="N71" s="96"/>
      <c r="P71" s="115"/>
      <c r="Q71" s="115"/>
      <c r="R71" s="115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4172</v>
      </c>
      <c r="AH71" s="117">
        <v>15500000</v>
      </c>
      <c r="AI71" s="20">
        <v>4</v>
      </c>
      <c r="AJ71" s="99">
        <f t="shared" si="10"/>
        <v>33</v>
      </c>
      <c r="AK71" s="117">
        <f t="shared" si="5"/>
        <v>511500000</v>
      </c>
      <c r="AL71" s="20"/>
    </row>
    <row r="72" spans="1:38" x14ac:dyDescent="0.25">
      <c r="G72" t="s">
        <v>4112</v>
      </c>
      <c r="K72" s="32" t="s">
        <v>322</v>
      </c>
      <c r="L72" s="1">
        <v>150000</v>
      </c>
      <c r="N72" s="96"/>
      <c r="P72" s="115"/>
      <c r="Q72" s="55"/>
      <c r="R72" s="189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4176</v>
      </c>
      <c r="AH72" s="117">
        <v>150000</v>
      </c>
      <c r="AI72" s="20">
        <v>1</v>
      </c>
      <c r="AJ72" s="99">
        <f t="shared" si="10"/>
        <v>29</v>
      </c>
      <c r="AK72" s="117">
        <f t="shared" si="5"/>
        <v>4350000</v>
      </c>
      <c r="AL72" s="20"/>
    </row>
    <row r="73" spans="1:38" x14ac:dyDescent="0.25">
      <c r="G73" t="s">
        <v>4111</v>
      </c>
      <c r="K73" s="32" t="s">
        <v>324</v>
      </c>
      <c r="L73" s="1">
        <v>75000</v>
      </c>
      <c r="P73" s="115"/>
      <c r="Q73" s="55"/>
      <c r="R73" s="189"/>
      <c r="S73" s="115"/>
      <c r="T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4182</v>
      </c>
      <c r="AH73" s="184">
        <v>29000000</v>
      </c>
      <c r="AI73" s="183">
        <v>15</v>
      </c>
      <c r="AJ73" s="183">
        <f t="shared" si="10"/>
        <v>28</v>
      </c>
      <c r="AK73" s="184">
        <f t="shared" si="5"/>
        <v>812000000</v>
      </c>
      <c r="AL73" s="183" t="s">
        <v>4197</v>
      </c>
    </row>
    <row r="74" spans="1:38" x14ac:dyDescent="0.25">
      <c r="K74" s="32" t="s">
        <v>314</v>
      </c>
      <c r="L74" s="1">
        <v>140000</v>
      </c>
      <c r="P74" s="115"/>
      <c r="Q74" s="26"/>
      <c r="R74" s="189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4224</v>
      </c>
      <c r="AH74" s="117">
        <v>-130000</v>
      </c>
      <c r="AI74" s="20">
        <v>7</v>
      </c>
      <c r="AJ74" s="99">
        <f t="shared" si="10"/>
        <v>13</v>
      </c>
      <c r="AK74" s="117">
        <f t="shared" si="5"/>
        <v>-1690000</v>
      </c>
      <c r="AL74" s="20" t="s">
        <v>4226</v>
      </c>
    </row>
    <row r="75" spans="1:38" x14ac:dyDescent="0.25">
      <c r="K75" s="2" t="s">
        <v>478</v>
      </c>
      <c r="L75" s="3">
        <v>1083333</v>
      </c>
      <c r="P75" s="115"/>
      <c r="Q75" s="55"/>
      <c r="R75" s="189"/>
      <c r="S75" s="122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4281</v>
      </c>
      <c r="AH75" s="117">
        <v>232000</v>
      </c>
      <c r="AI75" s="20">
        <v>2</v>
      </c>
      <c r="AJ75" s="99">
        <f t="shared" si="10"/>
        <v>6</v>
      </c>
      <c r="AK75" s="117">
        <f>AH75*AJ75</f>
        <v>1392000</v>
      </c>
      <c r="AL75" s="20" t="s">
        <v>4283</v>
      </c>
    </row>
    <row r="76" spans="1:38" x14ac:dyDescent="0.25">
      <c r="K76" s="2"/>
      <c r="L76" s="3"/>
      <c r="P76" s="128"/>
      <c r="Q76" s="55"/>
      <c r="R76" s="189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4298</v>
      </c>
      <c r="AH76" s="117">
        <v>-170000</v>
      </c>
      <c r="AI76" s="20">
        <v>3</v>
      </c>
      <c r="AJ76" s="99">
        <f t="shared" si="10"/>
        <v>4</v>
      </c>
      <c r="AK76" s="117">
        <f t="shared" si="5"/>
        <v>-680000</v>
      </c>
      <c r="AL76" s="20"/>
    </row>
    <row r="77" spans="1:38" x14ac:dyDescent="0.25">
      <c r="K77" s="2"/>
      <c r="L77" s="3"/>
      <c r="P77" s="128"/>
      <c r="Q77" s="122"/>
      <c r="R77" s="115"/>
      <c r="S77" s="115"/>
      <c r="W77" s="115"/>
      <c r="X77" s="128"/>
      <c r="Y77" s="115"/>
      <c r="Z77" s="115"/>
      <c r="AA77" s="115"/>
      <c r="AB77" s="128"/>
      <c r="AC77" s="115"/>
      <c r="AD77" s="115"/>
      <c r="AF77" s="20">
        <v>57</v>
      </c>
      <c r="AG77" s="117" t="s">
        <v>4313</v>
      </c>
      <c r="AH77" s="117">
        <v>-300000</v>
      </c>
      <c r="AI77" s="20">
        <v>1</v>
      </c>
      <c r="AJ77" s="99">
        <f t="shared" si="10"/>
        <v>1</v>
      </c>
      <c r="AK77" s="117">
        <f t="shared" si="5"/>
        <v>-300000</v>
      </c>
      <c r="AL77" s="20"/>
    </row>
    <row r="78" spans="1:38" x14ac:dyDescent="0.25">
      <c r="K78" s="2" t="s">
        <v>6</v>
      </c>
      <c r="L78" s="3">
        <f>SUM(L55:L76)</f>
        <v>3383333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/>
      <c r="AG78" s="117"/>
      <c r="AH78" s="117"/>
      <c r="AI78" s="20"/>
      <c r="AJ78" s="99">
        <f t="shared" si="10"/>
        <v>0</v>
      </c>
      <c r="AK78" s="117">
        <f t="shared" si="5"/>
        <v>0</v>
      </c>
      <c r="AL78" s="20"/>
    </row>
    <row r="79" spans="1:38" x14ac:dyDescent="0.25">
      <c r="K79" s="2" t="s">
        <v>328</v>
      </c>
      <c r="L79" s="3">
        <f>L78/30</f>
        <v>112777.76666666666</v>
      </c>
      <c r="W79" s="115"/>
      <c r="X79" s="115"/>
      <c r="Y79" s="115"/>
      <c r="Z79" s="115"/>
      <c r="AA79" s="115"/>
      <c r="AB79" s="115"/>
      <c r="AC79" s="115"/>
      <c r="AD79" s="115"/>
      <c r="AF79" s="20"/>
      <c r="AG79" s="117"/>
      <c r="AH79" s="117"/>
      <c r="AI79" s="20"/>
      <c r="AJ79" s="99">
        <f t="shared" si="10"/>
        <v>0</v>
      </c>
      <c r="AK79" s="117">
        <f t="shared" si="5"/>
        <v>0</v>
      </c>
      <c r="AL79" s="20"/>
    </row>
    <row r="80" spans="1:38" x14ac:dyDescent="0.25">
      <c r="O80" s="115"/>
      <c r="Q80" s="22"/>
      <c r="W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10"/>
        <v>0</v>
      </c>
      <c r="AK80" s="117">
        <f t="shared" si="5"/>
        <v>0</v>
      </c>
      <c r="AL80" s="20"/>
    </row>
    <row r="81" spans="11:50" x14ac:dyDescent="0.25">
      <c r="O81" s="115"/>
      <c r="X81" s="115"/>
      <c r="Y81" s="115"/>
      <c r="AC81" s="115"/>
      <c r="AD81" s="115"/>
      <c r="AF81" s="99"/>
      <c r="AG81" s="113"/>
      <c r="AH81" s="113"/>
      <c r="AI81" s="99"/>
      <c r="AJ81" s="99">
        <f t="shared" si="10"/>
        <v>0</v>
      </c>
      <c r="AK81" s="117">
        <f t="shared" si="5"/>
        <v>0</v>
      </c>
      <c r="AL81" s="99"/>
    </row>
    <row r="82" spans="11:50" x14ac:dyDescent="0.25">
      <c r="X82" s="115"/>
      <c r="Y82" s="115"/>
      <c r="AC82" s="115"/>
      <c r="AD82" s="115"/>
      <c r="AF82" s="99"/>
      <c r="AG82" s="113"/>
      <c r="AH82" s="113"/>
      <c r="AI82" s="99"/>
      <c r="AJ82" s="99">
        <f t="shared" si="10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AF83" s="99"/>
      <c r="AG83" s="99"/>
      <c r="AH83" s="95">
        <f>SUM(AH20:AH81)</f>
        <v>222223899</v>
      </c>
      <c r="AI83" s="99"/>
      <c r="AJ83" s="99"/>
      <c r="AK83" s="95">
        <f>SUM(AK20:AK82)</f>
        <v>13695116438</v>
      </c>
      <c r="AL83" s="95">
        <f>AK83*AL86/31</f>
        <v>8835558.9922580644</v>
      </c>
    </row>
    <row r="84" spans="11:50" x14ac:dyDescent="0.25"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K85" s="48" t="s">
        <v>789</v>
      </c>
      <c r="L85" s="48" t="s">
        <v>476</v>
      </c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K86" s="47">
        <v>700000</v>
      </c>
      <c r="L86" s="48" t="s">
        <v>1041</v>
      </c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7">
        <v>500000</v>
      </c>
      <c r="L87" s="48" t="s">
        <v>479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180000</v>
      </c>
      <c r="L88" s="48" t="s">
        <v>558</v>
      </c>
      <c r="AF88" s="99"/>
      <c r="AG88" s="99" t="s">
        <v>4067</v>
      </c>
      <c r="AH88" s="95">
        <f>AH83+AL83</f>
        <v>231059457.99225807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0</v>
      </c>
      <c r="L89" s="48" t="s">
        <v>785</v>
      </c>
      <c r="AG89" t="s">
        <v>4070</v>
      </c>
      <c r="AH89" s="114">
        <f>SUM(N33:N36)</f>
        <v>218911484.29999998</v>
      </c>
      <c r="AO89" t="s">
        <v>25</v>
      </c>
      <c r="AT89" t="s">
        <v>25</v>
      </c>
    </row>
    <row r="90" spans="11:50" x14ac:dyDescent="0.25">
      <c r="K90" s="47">
        <v>0</v>
      </c>
      <c r="L90" s="48" t="s">
        <v>786</v>
      </c>
      <c r="AG90" t="s">
        <v>4144</v>
      </c>
      <c r="AH90" s="114">
        <f>AH89-AH83</f>
        <v>-3312414.7000000179</v>
      </c>
    </row>
    <row r="91" spans="11:50" x14ac:dyDescent="0.25">
      <c r="K91" s="47">
        <v>500000</v>
      </c>
      <c r="L91" s="48" t="s">
        <v>787</v>
      </c>
      <c r="AG91" t="s">
        <v>945</v>
      </c>
      <c r="AH91" s="114">
        <f>AL83</f>
        <v>8835558.9922580644</v>
      </c>
      <c r="AR91" s="96" t="s">
        <v>25</v>
      </c>
    </row>
    <row r="92" spans="11:50" x14ac:dyDescent="0.25">
      <c r="K92" s="47">
        <v>75000</v>
      </c>
      <c r="L92" s="48" t="s">
        <v>788</v>
      </c>
      <c r="AG92" t="s">
        <v>4071</v>
      </c>
      <c r="AH92" s="114">
        <f>AH89-AH88</f>
        <v>-12147973.69225809</v>
      </c>
    </row>
    <row r="93" spans="11:50" x14ac:dyDescent="0.25">
      <c r="K93" s="47">
        <v>0</v>
      </c>
      <c r="L93" s="48" t="s">
        <v>790</v>
      </c>
    </row>
    <row r="94" spans="11:50" x14ac:dyDescent="0.25">
      <c r="K94" s="47">
        <v>500000</v>
      </c>
      <c r="L94" s="48" t="s">
        <v>564</v>
      </c>
    </row>
    <row r="95" spans="11:50" x14ac:dyDescent="0.25">
      <c r="K95" s="47">
        <v>50000</v>
      </c>
      <c r="L95" s="48" t="s">
        <v>793</v>
      </c>
    </row>
    <row r="96" spans="11:50" x14ac:dyDescent="0.25">
      <c r="K96" s="47">
        <v>140000</v>
      </c>
      <c r="L96" s="48" t="s">
        <v>314</v>
      </c>
    </row>
    <row r="97" spans="8:12" x14ac:dyDescent="0.25">
      <c r="K97" s="47"/>
      <c r="L97" s="48" t="s">
        <v>25</v>
      </c>
    </row>
    <row r="98" spans="8:12" x14ac:dyDescent="0.25">
      <c r="H98" s="96"/>
      <c r="K98" s="47">
        <f>SUM(K86:K97)</f>
        <v>2645000</v>
      </c>
      <c r="L98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4303</v>
      </c>
      <c r="C1" s="99" t="s">
        <v>4304</v>
      </c>
      <c r="D1" s="99" t="s">
        <v>4305</v>
      </c>
      <c r="E1" s="99" t="s">
        <v>4306</v>
      </c>
      <c r="F1" s="74" t="s">
        <v>4307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4321</v>
      </c>
      <c r="V10" s="96" t="s">
        <v>4323</v>
      </c>
      <c r="W10" t="s">
        <v>4317</v>
      </c>
      <c r="X10" t="s">
        <v>4319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4320</v>
      </c>
      <c r="Q13" s="99" t="s">
        <v>4321</v>
      </c>
      <c r="R13" s="99" t="s">
        <v>4322</v>
      </c>
      <c r="S13" s="99" t="s">
        <v>4316</v>
      </c>
      <c r="T13" s="99" t="s">
        <v>4318</v>
      </c>
      <c r="U13" s="69" t="s">
        <v>4317</v>
      </c>
      <c r="V13" s="69" t="s">
        <v>4319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4308</v>
      </c>
      <c r="F27" s="99" t="s">
        <v>4309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2018-10-22T21:17:03Z</dcterms:modified>
</cp:coreProperties>
</file>