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Z29" i="52" l="1"/>
  <c r="Y30" i="52"/>
  <c r="Z30" i="52" s="1"/>
  <c r="Y28" i="52"/>
  <c r="Z28" i="52" s="1"/>
  <c r="Y27" i="52"/>
  <c r="Z27" i="52" s="1"/>
  <c r="Y26" i="52"/>
  <c r="Z26" i="52" s="1"/>
  <c r="Y25" i="52"/>
  <c r="Z25" i="52" s="1"/>
  <c r="Y24" i="52"/>
  <c r="Z24" i="52" s="1"/>
  <c r="N23" i="18" l="1"/>
  <c r="N29" i="18"/>
  <c r="P29" i="18"/>
  <c r="P23" i="18"/>
  <c r="N50" i="18"/>
  <c r="AD17" i="52"/>
  <c r="AE17" i="52"/>
  <c r="AD16" i="52"/>
  <c r="AE16" i="52"/>
  <c r="Z17" i="52"/>
  <c r="D296" i="20"/>
  <c r="D295" i="20"/>
  <c r="R176" i="18" l="1"/>
  <c r="R164" i="18"/>
  <c r="W141" i="18"/>
  <c r="W140" i="18"/>
  <c r="AJ132" i="18"/>
  <c r="L11" i="52"/>
  <c r="L10" i="52"/>
  <c r="M21" i="52"/>
  <c r="M20" i="52"/>
  <c r="M14" i="52"/>
  <c r="AJ181" i="18"/>
  <c r="AL179" i="18"/>
  <c r="AL178" i="18" s="1"/>
  <c r="AL177" i="18" s="1"/>
  <c r="AL176" i="18" s="1"/>
  <c r="AL175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78" i="18" l="1"/>
  <c r="AM177" i="18"/>
  <c r="AM176" i="18"/>
  <c r="AM179" i="18"/>
  <c r="H33" i="55"/>
  <c r="G2" i="55"/>
  <c r="G33" i="55" s="1"/>
  <c r="D2" i="55"/>
  <c r="W139" i="18"/>
  <c r="W138" i="18"/>
  <c r="H38" i="55" l="1"/>
  <c r="I2" i="55"/>
  <c r="I33" i="55" s="1"/>
  <c r="I38" i="55" s="1"/>
  <c r="D32" i="55"/>
  <c r="D293" i="20"/>
  <c r="W137" i="18" l="1"/>
  <c r="L20" i="52"/>
  <c r="N59" i="18"/>
  <c r="N58" i="18"/>
  <c r="N57" i="18"/>
  <c r="N56" i="18"/>
  <c r="N55" i="18"/>
  <c r="D292" i="20" l="1"/>
  <c r="C8" i="36"/>
  <c r="W136" i="18"/>
  <c r="N5" i="52"/>
  <c r="N53" i="18" l="1"/>
  <c r="N52" i="18"/>
  <c r="D291" i="20"/>
  <c r="D290" i="20" l="1"/>
  <c r="D289" i="20" l="1"/>
  <c r="N54" i="18" l="1"/>
  <c r="P28" i="18" l="1"/>
  <c r="N28" i="18" s="1"/>
  <c r="P24" i="18"/>
  <c r="N24" i="18" s="1"/>
  <c r="AL174" i="18"/>
  <c r="AL173" i="18" s="1"/>
  <c r="B299" i="20"/>
  <c r="D288" i="20"/>
  <c r="R127" i="18" l="1"/>
  <c r="Q50" i="18"/>
  <c r="AM175" i="18"/>
  <c r="AM174" i="18"/>
  <c r="AD4" i="52"/>
  <c r="D287" i="20" l="1"/>
  <c r="D286" i="20"/>
  <c r="F15" i="52"/>
  <c r="AB3" i="49" l="1"/>
  <c r="AB4" i="49"/>
  <c r="AB5" i="49"/>
  <c r="D285" i="20" l="1"/>
  <c r="W135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5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N49" i="18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6" i="18"/>
  <c r="D281" i="20" l="1"/>
  <c r="D280" i="20" l="1"/>
  <c r="AD5" i="52" l="1"/>
  <c r="B38" i="52"/>
  <c r="D279" i="20"/>
  <c r="U144" i="18" l="1"/>
  <c r="W111" i="18" s="1"/>
  <c r="W134" i="18"/>
  <c r="D278" i="20"/>
  <c r="W113" i="18" l="1"/>
  <c r="W11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6" i="18"/>
  <c r="AR14" i="18"/>
  <c r="S10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1" i="18"/>
  <c r="AL127" i="18" s="1"/>
  <c r="AL126" i="18" l="1"/>
  <c r="AM127" i="18"/>
  <c r="AM131" i="18"/>
  <c r="D270" i="20"/>
  <c r="N51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R26" i="52"/>
  <c r="AD3" i="52"/>
  <c r="AD2" i="52"/>
  <c r="AM121" i="18" l="1"/>
  <c r="AL120" i="18"/>
  <c r="H38" i="54"/>
  <c r="I2" i="54"/>
  <c r="I33" i="54" s="1"/>
  <c r="I38" i="54" s="1"/>
  <c r="D32" i="54"/>
  <c r="N112" i="18"/>
  <c r="N113" i="18"/>
  <c r="N114" i="18"/>
  <c r="N115" i="18"/>
  <c r="N116" i="18"/>
  <c r="N117" i="18"/>
  <c r="N118" i="18"/>
  <c r="N119" i="18"/>
  <c r="N111" i="18"/>
  <c r="AL119" i="18" l="1"/>
  <c r="AM120" i="18"/>
  <c r="C299" i="20"/>
  <c r="N4" i="52"/>
  <c r="N3" i="52"/>
  <c r="N2" i="52"/>
  <c r="AL118" i="18" l="1"/>
  <c r="AM119" i="18"/>
  <c r="N14" i="52"/>
  <c r="M16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3" i="18"/>
  <c r="N37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2" i="18"/>
  <c r="AM113" i="18" l="1"/>
  <c r="AL112" i="18"/>
  <c r="AM112" i="18" l="1"/>
  <c r="AL111" i="18"/>
  <c r="L35" i="18"/>
  <c r="AL110" i="18" l="1"/>
  <c r="AM111" i="18"/>
  <c r="W126" i="18"/>
  <c r="W127" i="18"/>
  <c r="W128" i="18"/>
  <c r="W129" i="18"/>
  <c r="W130" i="18"/>
  <c r="W131" i="18"/>
  <c r="W143" i="18"/>
  <c r="W125" i="18"/>
  <c r="AL109" i="18" l="1"/>
  <c r="AM110" i="18"/>
  <c r="N60" i="18"/>
  <c r="AM109" i="18" l="1"/>
  <c r="AL108" i="18"/>
  <c r="R148" i="18"/>
  <c r="T160" i="18" l="1"/>
  <c r="AM108" i="18"/>
  <c r="AL107" i="18"/>
  <c r="T109" i="18"/>
  <c r="S41" i="18"/>
  <c r="S42" i="18" s="1"/>
  <c r="S43" i="18" s="1"/>
  <c r="R130" i="18"/>
  <c r="R129" i="18"/>
  <c r="R128" i="18"/>
  <c r="D57" i="51"/>
  <c r="AM107" i="18" l="1"/>
  <c r="AL106" i="18"/>
  <c r="S44" i="18"/>
  <c r="S45" i="18" s="1"/>
  <c r="S46" i="18" s="1"/>
  <c r="S47" i="18" s="1"/>
  <c r="S48" i="18" s="1"/>
  <c r="AL105" i="18" l="1"/>
  <c r="AM106" i="18"/>
  <c r="P30" i="18"/>
  <c r="N30" i="18" s="1"/>
  <c r="AM105" i="18" l="1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7" i="18"/>
  <c r="AL100" i="18" l="1"/>
  <c r="AM100" i="18" s="1"/>
  <c r="AM101" i="18"/>
  <c r="D108" i="50"/>
  <c r="P25" i="18" l="1"/>
  <c r="N46" i="18"/>
  <c r="N43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5" i="18"/>
  <c r="Q101" i="18" l="1"/>
  <c r="R125" i="18"/>
  <c r="AM96" i="18"/>
  <c r="AL172" i="18"/>
  <c r="AM173" i="18"/>
  <c r="AL94" i="18"/>
  <c r="AM95" i="18"/>
  <c r="AL171" i="18" l="1"/>
  <c r="AM172" i="18"/>
  <c r="AL93" i="18"/>
  <c r="AM94" i="18"/>
  <c r="AL170" i="18" l="1"/>
  <c r="AM171" i="18"/>
  <c r="AL92" i="18"/>
  <c r="AM93" i="18"/>
  <c r="S26" i="18"/>
  <c r="S27" i="18" s="1"/>
  <c r="S28" i="18" s="1"/>
  <c r="S29" i="18" s="1"/>
  <c r="N85" i="18"/>
  <c r="AL169" i="18" l="1"/>
  <c r="AM170" i="18"/>
  <c r="S30" i="18"/>
  <c r="S31" i="18" s="1"/>
  <c r="S32" i="18" s="1"/>
  <c r="S33" i="18" s="1"/>
  <c r="S34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69" i="18" l="1"/>
  <c r="AL168" i="18"/>
  <c r="AL90" i="18"/>
  <c r="AM91" i="18"/>
  <c r="D73" i="48"/>
  <c r="N25" i="18"/>
  <c r="Q36" i="18" l="1"/>
  <c r="R126" i="18"/>
  <c r="AL167" i="18"/>
  <c r="AM168" i="18"/>
  <c r="AM90" i="18"/>
  <c r="AL89" i="18"/>
  <c r="AL166" i="18" l="1"/>
  <c r="AM167" i="18"/>
  <c r="AL88" i="18"/>
  <c r="AM89" i="18"/>
  <c r="P65" i="18"/>
  <c r="AL165" i="18" l="1"/>
  <c r="AM166" i="18"/>
  <c r="AL87" i="18"/>
  <c r="AM88" i="18"/>
  <c r="AL164" i="18" l="1"/>
  <c r="AM165" i="18"/>
  <c r="AM87" i="18"/>
  <c r="AL86" i="18"/>
  <c r="N23" i="33"/>
  <c r="D23" i="33" s="1"/>
  <c r="AL163" i="18" l="1"/>
  <c r="AM164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2" i="18" l="1"/>
  <c r="AM163" i="18"/>
  <c r="AL84" i="18"/>
  <c r="AM85" i="18"/>
  <c r="P21" i="18"/>
  <c r="N21" i="18" s="1"/>
  <c r="AJ185" i="18" l="1"/>
  <c r="AJ186" i="18" s="1"/>
  <c r="AL161" i="18"/>
  <c r="AM162" i="18"/>
  <c r="AM84" i="18"/>
  <c r="AL83" i="18"/>
  <c r="AL160" i="18" l="1"/>
  <c r="AM161" i="18"/>
  <c r="AM83" i="18"/>
  <c r="AL82" i="18"/>
  <c r="S60" i="18"/>
  <c r="S61" i="18" s="1"/>
  <c r="AM160" i="18" l="1"/>
  <c r="AL159" i="18"/>
  <c r="AL81" i="18"/>
  <c r="AM82" i="18"/>
  <c r="AL158" i="18" l="1"/>
  <c r="AM159" i="18"/>
  <c r="AL80" i="18"/>
  <c r="AM80" i="18" s="1"/>
  <c r="AM81" i="18"/>
  <c r="AM158" i="18" l="1"/>
  <c r="AL157" i="18"/>
  <c r="AM157" i="18" l="1"/>
  <c r="AL156" i="18"/>
  <c r="B8" i="36"/>
  <c r="AL155" i="18" l="1"/>
  <c r="AM156" i="18"/>
  <c r="B10" i="36"/>
  <c r="AL154" i="18" l="1"/>
  <c r="AM155" i="18"/>
  <c r="S62" i="18"/>
  <c r="S63" i="18" l="1"/>
  <c r="S64" i="18" s="1"/>
  <c r="S65" i="18" s="1"/>
  <c r="S66" i="18" s="1"/>
  <c r="S67" i="18" s="1"/>
  <c r="S68" i="18" s="1"/>
  <c r="AL153" i="18"/>
  <c r="AM154" i="18"/>
  <c r="N25" i="33"/>
  <c r="N24" i="33"/>
  <c r="N21" i="33"/>
  <c r="N20" i="33"/>
  <c r="N19" i="33"/>
  <c r="N18" i="33"/>
  <c r="L18" i="33" s="1"/>
  <c r="N17" i="33"/>
  <c r="N9" i="33"/>
  <c r="N3" i="33"/>
  <c r="N4" i="33"/>
  <c r="AM153" i="18" l="1"/>
  <c r="AL152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2" i="18" l="1"/>
  <c r="AL151" i="18"/>
  <c r="AC15" i="33"/>
  <c r="AM151" i="18" l="1"/>
  <c r="AL150" i="18"/>
  <c r="N16" i="33"/>
  <c r="S71" i="18" l="1"/>
  <c r="S72" i="18" s="1"/>
  <c r="AM150" i="18"/>
  <c r="AL149" i="18"/>
  <c r="AM149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1" i="18" l="1"/>
  <c r="AN181" i="18" s="1"/>
  <c r="AJ18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3" i="18" l="1"/>
  <c r="S74" i="18" s="1"/>
  <c r="S75" i="18" s="1"/>
  <c r="AJ187" i="18"/>
  <c r="AJ18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6" i="18" l="1"/>
  <c r="S77" i="18" s="1"/>
  <c r="G280" i="20"/>
  <c r="I281" i="20"/>
  <c r="J281" i="20"/>
  <c r="K281" i="20"/>
  <c r="AL77" i="18"/>
  <c r="AM78" i="18"/>
  <c r="N65" i="18"/>
  <c r="S78" i="18" l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4" i="18"/>
  <c r="AJ138" i="18" l="1"/>
  <c r="AJ139" i="18" s="1"/>
  <c r="R134" i="18"/>
  <c r="T147" i="18" s="1"/>
  <c r="G277" i="20"/>
  <c r="K278" i="20"/>
  <c r="J278" i="20"/>
  <c r="I278" i="20"/>
  <c r="AL74" i="18"/>
  <c r="AM75" i="18"/>
  <c r="G276" i="20" l="1"/>
  <c r="I277" i="20"/>
  <c r="K277" i="20"/>
  <c r="J277" i="20"/>
  <c r="V150" i="18"/>
  <c r="S113" i="18"/>
  <c r="U160" i="18"/>
  <c r="V160" i="18" s="1"/>
  <c r="AL73" i="18"/>
  <c r="AM74" i="18"/>
  <c r="N91" i="18"/>
  <c r="V48" i="18" l="1"/>
  <c r="W48" i="18" s="1"/>
  <c r="V34" i="18"/>
  <c r="X48" i="18"/>
  <c r="V99" i="18"/>
  <c r="V97" i="18"/>
  <c r="V98" i="18"/>
  <c r="V95" i="18"/>
  <c r="V94" i="18"/>
  <c r="V93" i="18"/>
  <c r="V92" i="18"/>
  <c r="V86" i="18"/>
  <c r="V89" i="18"/>
  <c r="V91" i="18"/>
  <c r="V87" i="18"/>
  <c r="V90" i="18"/>
  <c r="V96" i="18"/>
  <c r="V88" i="18"/>
  <c r="V100" i="18"/>
  <c r="V83" i="18"/>
  <c r="W83" i="18" s="1"/>
  <c r="V85" i="18"/>
  <c r="V84" i="18"/>
  <c r="V33" i="18"/>
  <c r="W33" i="18" s="1"/>
  <c r="V47" i="18"/>
  <c r="V81" i="18"/>
  <c r="W81" i="18" s="1"/>
  <c r="V82" i="18"/>
  <c r="V78" i="18"/>
  <c r="W78" i="18" s="1"/>
  <c r="V80" i="18"/>
  <c r="V79" i="18"/>
  <c r="V46" i="18"/>
  <c r="W46" i="18" s="1"/>
  <c r="V32" i="18"/>
  <c r="V76" i="18"/>
  <c r="W76" i="18" s="1"/>
  <c r="V77" i="18"/>
  <c r="G275" i="20"/>
  <c r="I276" i="20"/>
  <c r="K276" i="20"/>
  <c r="J276" i="20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34" i="18" l="1"/>
  <c r="X34" i="18"/>
  <c r="W98" i="18"/>
  <c r="X98" i="18"/>
  <c r="W97" i="18"/>
  <c r="X97" i="18"/>
  <c r="W99" i="18"/>
  <c r="X99" i="18"/>
  <c r="X94" i="18"/>
  <c r="W94" i="18"/>
  <c r="W95" i="18"/>
  <c r="X95" i="18"/>
  <c r="W92" i="18"/>
  <c r="X92" i="18"/>
  <c r="W93" i="18"/>
  <c r="X93" i="18"/>
  <c r="W100" i="18"/>
  <c r="X100" i="18"/>
  <c r="W87" i="18"/>
  <c r="X87" i="18"/>
  <c r="X88" i="18"/>
  <c r="W88" i="18"/>
  <c r="W91" i="18"/>
  <c r="X91" i="18"/>
  <c r="X96" i="18"/>
  <c r="W96" i="18"/>
  <c r="W89" i="18"/>
  <c r="X89" i="18"/>
  <c r="W90" i="18"/>
  <c r="X90" i="18"/>
  <c r="W86" i="18"/>
  <c r="X86" i="18"/>
  <c r="X83" i="18"/>
  <c r="W84" i="18"/>
  <c r="X84" i="18"/>
  <c r="W85" i="18"/>
  <c r="X85" i="18"/>
  <c r="X33" i="18"/>
  <c r="W47" i="18"/>
  <c r="X47" i="18"/>
  <c r="X81" i="18"/>
  <c r="W82" i="18"/>
  <c r="X82" i="18"/>
  <c r="X78" i="18"/>
  <c r="W79" i="18"/>
  <c r="X79" i="18"/>
  <c r="W80" i="18"/>
  <c r="X80" i="18"/>
  <c r="X46" i="18"/>
  <c r="X32" i="18"/>
  <c r="W32" i="18"/>
  <c r="X76" i="18"/>
  <c r="W77" i="18"/>
  <c r="X77" i="18"/>
  <c r="G274" i="20"/>
  <c r="K275" i="20"/>
  <c r="J275" i="20"/>
  <c r="I275" i="20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2" i="18"/>
  <c r="N68" i="18"/>
  <c r="S111" i="18"/>
  <c r="U111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73" i="20" l="1"/>
  <c r="J274" i="20"/>
  <c r="I274" i="20"/>
  <c r="K274" i="20"/>
  <c r="N33" i="18"/>
  <c r="L21" i="18" s="1"/>
  <c r="U112" i="18"/>
  <c r="V112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2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2" i="18"/>
  <c r="AJ137" i="18" s="1"/>
  <c r="AJ141" i="18" s="1"/>
  <c r="E172" i="13"/>
  <c r="G173" i="13"/>
  <c r="D62" i="38"/>
  <c r="G220" i="20" l="1"/>
  <c r="I221" i="20"/>
  <c r="K221" i="20"/>
  <c r="J221" i="20"/>
  <c r="F244" i="15"/>
  <c r="D243" i="15"/>
  <c r="AJ140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71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2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1" i="18" s="1"/>
  <c r="F24" i="18" s="1"/>
  <c r="L72" i="18" l="1"/>
  <c r="E33" i="13"/>
  <c r="G34" i="13"/>
  <c r="I97" i="20"/>
  <c r="K97" i="20"/>
  <c r="J97" i="20"/>
  <c r="F108" i="15"/>
  <c r="C20" i="18"/>
  <c r="G20" i="14"/>
  <c r="G21" i="14"/>
  <c r="L73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1" i="18" l="1"/>
  <c r="U113" i="18"/>
  <c r="V113" i="18" s="1"/>
</calcChain>
</file>

<file path=xl/sharedStrings.xml><?xml version="1.0" encoding="utf-8"?>
<sst xmlns="http://schemas.openxmlformats.org/spreadsheetml/2006/main" count="10430" uniqueCount="4721">
  <si>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</si>
  <si>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</si>
  <si>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</si>
  <si>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</si>
  <si>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</si>
  <si>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</si>
  <si>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</si>
  <si>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</si>
  <si>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</si>
  <si>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</si>
  <si>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</si>
  <si>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</si>
  <si>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</si>
  <si>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</si>
  <si>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</si>
  <si>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</si>
  <si>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</si>
  <si>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</si>
  <si>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</si>
  <si>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</si>
  <si>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</si>
  <si>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</si>
  <si>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</si>
  <si>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</si>
  <si>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</si>
  <si>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</si>
  <si>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</si>
  <si>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</si>
  <si>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</si>
  <si>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</si>
  <si>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</si>
  <si>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</si>
  <si>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</si>
  <si>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</si>
  <si>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</si>
  <si>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</si>
  <si>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</si>
  <si>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</si>
  <si>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</si>
  <si>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</si>
  <si>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</si>
  <si>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</si>
  <si>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</si>
  <si>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</si>
  <si>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</si>
  <si>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</si>
  <si>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</si>
  <si>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</si>
  <si>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</si>
  <si>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</si>
  <si>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</si>
  <si>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</si>
  <si>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</si>
  <si>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</si>
  <si>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</si>
  <si>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</si>
  <si>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</si>
  <si>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</si>
  <si>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</si>
  <si>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</si>
  <si>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</si>
  <si>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</si>
  <si>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</si>
  <si>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</si>
  <si>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</si>
  <si>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</si>
  <si>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</si>
  <si>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</si>
  <si>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</si>
  <si>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</si>
  <si>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</si>
  <si>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</si>
  <si>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</si>
  <si>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</si>
  <si>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</si>
  <si>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</si>
  <si>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</si>
  <si>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</si>
  <si>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</si>
  <si>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</si>
  <si>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</si>
  <si>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</si>
  <si>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</si>
  <si>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</si>
  <si>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</si>
  <si>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</si>
  <si>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</si>
  <si>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</si>
  <si>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</si>
  <si>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</si>
  <si>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</si>
  <si>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</si>
  <si>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</si>
  <si>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</si>
  <si>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</si>
  <si>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</si>
  <si>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</si>
  <si>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</si>
  <si>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</si>
  <si>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</si>
  <si>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</si>
  <si>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</si>
  <si>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</si>
  <si>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</si>
  <si>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</si>
  <si>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</si>
  <si>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</si>
  <si>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</si>
  <si>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</si>
  <si>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</si>
  <si>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</si>
  <si>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</si>
  <si>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</si>
  <si>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</si>
  <si>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</si>
  <si>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</si>
  <si>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</si>
  <si>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</si>
  <si>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</si>
  <si>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</si>
  <si>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</si>
  <si>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</si>
  <si>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</si>
  <si>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</si>
  <si>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</si>
  <si>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</si>
  <si>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</si>
  <si>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</si>
  <si>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</si>
  <si>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</si>
  <si>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</si>
  <si>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</si>
  <si>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</si>
  <si>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</si>
  <si>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</si>
  <si>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</si>
  <si>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</si>
  <si>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</si>
  <si>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</si>
  <si>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</si>
  <si>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</si>
  <si>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</si>
  <si>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</si>
  <si>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</si>
  <si>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</si>
  <si>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</si>
  <si>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</si>
  <si>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</si>
  <si>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</si>
  <si>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</si>
  <si>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</si>
  <si>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</si>
  <si>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</si>
  <si>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</si>
  <si>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</si>
  <si>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</si>
  <si>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</si>
  <si>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</si>
  <si>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</si>
  <si>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</si>
  <si>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</si>
  <si>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</si>
  <si>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</si>
  <si>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</si>
  <si>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</si>
  <si>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</si>
  <si>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</si>
  <si>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</si>
  <si>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</si>
  <si>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</si>
  <si>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</si>
  <si>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</si>
  <si>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</si>
  <si>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</si>
  <si>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</si>
  <si>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</si>
  <si>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</si>
  <si>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</si>
  <si>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</si>
  <si>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</si>
  <si>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</si>
  <si>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</si>
  <si>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</si>
  <si>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</si>
  <si>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</si>
  <si>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</si>
  <si>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</si>
  <si>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</si>
  <si>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</si>
  <si>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</si>
  <si>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</si>
  <si>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</si>
  <si>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</si>
  <si>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</si>
  <si>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</si>
  <si>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</si>
  <si>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</si>
  <si>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</si>
  <si>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</si>
  <si>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</si>
  <si>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</si>
  <si>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</si>
  <si>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</si>
  <si>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</si>
  <si>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</si>
  <si>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</si>
  <si>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</si>
  <si>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</si>
  <si>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</si>
  <si>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</si>
  <si>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</si>
  <si>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</si>
  <si>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</si>
  <si>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</si>
  <si>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</si>
  <si>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</si>
  <si>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</si>
  <si>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</si>
  <si>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</si>
  <si>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</si>
  <si>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</si>
  <si>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</si>
  <si>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</si>
  <si>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</si>
  <si>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</si>
  <si>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</si>
  <si>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</si>
  <si>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</si>
  <si>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</si>
  <si>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</si>
  <si>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</si>
  <si>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</si>
  <si>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</si>
  <si>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</si>
  <si>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</si>
  <si>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</si>
  <si>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</si>
  <si>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</si>
  <si>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</si>
  <si>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</si>
  <si>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</si>
  <si>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</si>
  <si>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</si>
  <si>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</si>
  <si>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</si>
  <si>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</si>
  <si>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</si>
  <si>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</si>
  <si>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</si>
  <si>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</si>
  <si>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</si>
  <si>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</si>
  <si>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</si>
  <si>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</si>
  <si>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</si>
  <si>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</si>
  <si>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</si>
  <si>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</si>
  <si>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</si>
  <si>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</si>
  <si>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</si>
  <si>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</si>
  <si>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</si>
  <si>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</si>
  <si>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</si>
  <si>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</si>
  <si>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</si>
  <si>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</si>
  <si>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</si>
  <si>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</si>
  <si>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</si>
  <si>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</si>
  <si>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</si>
  <si>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</si>
  <si>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</si>
  <si>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</si>
  <si>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</si>
  <si>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</si>
  <si>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</si>
  <si>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</si>
  <si>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</si>
  <si>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</si>
  <si>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</si>
  <si>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</si>
  <si>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</si>
  <si>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</si>
  <si>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</si>
  <si>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</si>
  <si>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</si>
  <si>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</si>
  <si>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</si>
  <si>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</si>
  <si>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</si>
  <si>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</si>
  <si>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</si>
  <si>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</si>
  <si>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</si>
  <si>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</si>
  <si>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</si>
  <si>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</si>
  <si>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</si>
  <si>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</si>
  <si>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</si>
  <si>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</si>
  <si>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</si>
  <si>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</si>
  <si>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</si>
  <si>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</si>
  <si>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</si>
  <si>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</si>
  <si>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</si>
  <si>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</si>
  <si>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</si>
  <si>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</si>
  <si>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</si>
  <si>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</si>
  <si>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</si>
  <si>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</si>
  <si>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</si>
  <si>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</si>
  <si>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</si>
  <si>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</si>
  <si>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</si>
  <si>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</si>
  <si>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</si>
  <si>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</si>
  <si>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</si>
  <si>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</si>
  <si>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</si>
  <si>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</si>
  <si>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</si>
  <si>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</si>
  <si>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</si>
  <si>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</si>
  <si>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</si>
  <si>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</si>
  <si>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</si>
  <si>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</si>
  <si>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</si>
  <si>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</si>
  <si>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</si>
  <si>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</si>
  <si>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</si>
  <si>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</si>
  <si>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</si>
  <si>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</si>
  <si>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</si>
  <si>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</si>
  <si>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</si>
  <si>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</si>
  <si>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</si>
  <si>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</si>
  <si>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</si>
  <si>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</si>
  <si>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</si>
  <si>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</si>
  <si>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</si>
  <si>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</si>
  <si>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</si>
  <si>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</si>
  <si>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</si>
  <si>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</si>
  <si>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</si>
  <si>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</si>
  <si>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</si>
  <si>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</si>
  <si>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</si>
  <si>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</si>
  <si>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</si>
  <si>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</si>
  <si>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</si>
  <si>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</si>
  <si>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</si>
  <si>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</si>
  <si>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</si>
  <si>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</si>
  <si>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</si>
  <si>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</si>
  <si>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</si>
  <si>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</si>
  <si>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</si>
  <si>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</si>
  <si>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</si>
  <si>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</si>
  <si>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</si>
  <si>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</si>
  <si>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</si>
  <si>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</si>
  <si>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</si>
  <si>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</si>
  <si>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</si>
  <si>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</si>
  <si>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</si>
  <si>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</si>
  <si>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</si>
  <si>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</si>
  <si>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</si>
  <si>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</si>
  <si>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</si>
  <si>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</si>
  <si>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</si>
  <si>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</si>
  <si>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</si>
  <si>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</si>
  <si>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</si>
  <si>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</si>
  <si>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</si>
  <si>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</si>
  <si>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</si>
  <si>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</si>
  <si>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</si>
  <si>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</si>
  <si>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</si>
  <si>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</si>
  <si>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</si>
  <si>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</si>
  <si>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</si>
  <si>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</si>
  <si>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</si>
  <si>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</si>
  <si>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</si>
  <si>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</si>
  <si>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</si>
  <si>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</si>
  <si>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</si>
  <si>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</si>
  <si>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</si>
  <si>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</si>
  <si>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</si>
  <si>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</si>
  <si>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</si>
  <si>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</si>
  <si>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</si>
  <si>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</si>
  <si>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</si>
  <si>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</si>
  <si>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</si>
  <si>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</si>
  <si>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</si>
  <si>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</si>
  <si>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</si>
  <si>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</si>
  <si>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</si>
  <si>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</si>
  <si>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</si>
  <si>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</si>
  <si>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</si>
  <si>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</si>
  <si>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</si>
  <si>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</si>
  <si>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</si>
  <si>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</si>
  <si>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</si>
  <si>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</si>
  <si>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</si>
  <si>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</si>
  <si>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</si>
  <si>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</si>
  <si>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</si>
  <si>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</si>
  <si>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</si>
  <si>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</si>
  <si>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</si>
  <si>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</si>
  <si>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</si>
  <si>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</si>
  <si>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</si>
  <si>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</si>
  <si>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</si>
  <si>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</si>
  <si>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</si>
  <si>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</si>
  <si>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</si>
  <si>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</si>
  <si>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</si>
  <si>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</si>
  <si>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</si>
  <si>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</si>
  <si>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</si>
  <si>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</si>
  <si>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</si>
  <si>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</si>
  <si>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</si>
  <si>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</si>
  <si>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</si>
  <si>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</si>
  <si>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</si>
  <si>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</si>
  <si>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</si>
  <si>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</si>
  <si>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</si>
  <si>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</si>
  <si>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</si>
  <si>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</si>
  <si>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</si>
  <si>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</si>
  <si>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</si>
  <si>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</si>
  <si>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</si>
  <si>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</si>
  <si>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</si>
  <si>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</si>
  <si>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</si>
  <si>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</si>
  <si>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</si>
  <si>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</si>
  <si>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</si>
  <si>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</si>
  <si>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</si>
  <si>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</si>
  <si>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</si>
  <si>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</si>
  <si>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</si>
  <si>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</si>
  <si>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</si>
  <si>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</si>
  <si>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</si>
  <si>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</si>
  <si>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</si>
  <si>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</si>
  <si>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</si>
  <si>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</si>
  <si>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</si>
  <si>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</si>
  <si>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</si>
  <si>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</si>
  <si>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</si>
  <si>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</si>
  <si>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</si>
  <si>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</si>
  <si>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</si>
  <si>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</si>
  <si>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</si>
  <si>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</si>
  <si>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</si>
  <si>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</si>
  <si>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</si>
  <si>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</si>
  <si>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</si>
  <si>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</si>
  <si>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</si>
  <si>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</si>
  <si>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</si>
  <si>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</si>
  <si>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</si>
  <si>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</si>
  <si>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</si>
  <si>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</si>
  <si>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</si>
  <si>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</si>
  <si>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</si>
  <si>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</si>
  <si>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</si>
  <si>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</si>
  <si>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</si>
  <si>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</si>
  <si>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</si>
  <si>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</si>
  <si>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</si>
  <si>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</si>
  <si>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</si>
  <si>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</si>
  <si>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</si>
  <si>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</si>
  <si>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</si>
  <si>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</si>
  <si>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</si>
  <si>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</si>
  <si>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</si>
  <si>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</si>
  <si>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</si>
  <si>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</si>
  <si>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</si>
  <si>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</si>
  <si>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</si>
  <si>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</si>
  <si>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</si>
  <si>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</si>
  <si>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</si>
  <si>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</si>
  <si>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</si>
  <si>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</si>
  <si>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</si>
  <si>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</si>
  <si>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</si>
  <si>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</si>
  <si>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</si>
  <si>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</si>
  <si>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</si>
  <si>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</si>
  <si>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</si>
  <si>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</si>
  <si>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</si>
  <si>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</si>
  <si>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</si>
  <si>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</si>
  <si>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</si>
  <si>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</si>
  <si>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</si>
  <si>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</si>
  <si>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</si>
  <si>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</si>
  <si>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</si>
  <si>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</si>
  <si>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</si>
  <si>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</si>
  <si>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</si>
  <si>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</si>
  <si>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</si>
  <si>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</si>
  <si>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</si>
  <si>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</si>
  <si>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</si>
  <si>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</si>
  <si>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</si>
  <si>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</si>
  <si>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</si>
  <si>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</si>
  <si>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</si>
  <si>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</si>
  <si>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</si>
  <si>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</si>
  <si>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</si>
  <si>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</si>
  <si>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</si>
  <si>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</si>
  <si>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</si>
  <si>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</si>
  <si>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</si>
  <si>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</si>
  <si>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</si>
  <si>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</si>
  <si>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</si>
  <si>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</si>
  <si>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</si>
  <si>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</si>
  <si>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</si>
  <si>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</si>
  <si>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</si>
  <si>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</si>
  <si>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</si>
  <si>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</si>
  <si>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</si>
  <si>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</si>
  <si>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</si>
  <si>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</si>
  <si>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</si>
  <si>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</si>
  <si>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</si>
  <si>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</si>
  <si>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</si>
  <si>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</si>
  <si>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</si>
  <si>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</si>
  <si>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</si>
  <si>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</si>
  <si>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</si>
  <si>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</si>
  <si>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</si>
  <si>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</si>
  <si>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</si>
  <si>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</si>
  <si>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</si>
  <si>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</si>
  <si>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</si>
  <si>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</si>
  <si>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</si>
  <si>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</si>
  <si>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</si>
  <si>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</si>
  <si>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</si>
  <si>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</si>
  <si>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</si>
  <si>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</si>
  <si>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</si>
  <si>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</si>
  <si>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</si>
  <si>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</si>
  <si>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</si>
  <si>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</si>
  <si>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</si>
  <si>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</si>
  <si>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</si>
  <si>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</si>
  <si>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</si>
  <si>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</si>
  <si>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</si>
  <si>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</si>
  <si>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</si>
  <si>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</si>
  <si>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</si>
  <si>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</si>
  <si>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</si>
  <si>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</si>
  <si>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</si>
  <si>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</si>
  <si>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</si>
  <si>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</si>
  <si>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</si>
  <si>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</si>
  <si>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</si>
  <si>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</si>
  <si>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</si>
  <si>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</si>
  <si>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</si>
  <si>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</si>
  <si>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</si>
  <si>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</si>
  <si>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</si>
  <si>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</si>
  <si>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</si>
  <si>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</si>
  <si>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</si>
  <si>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</si>
  <si>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</si>
  <si>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</si>
  <si>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</si>
  <si>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</si>
  <si>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</si>
  <si>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</si>
  <si>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</si>
  <si>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</si>
  <si>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</si>
  <si>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</si>
  <si>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</si>
  <si>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</si>
  <si>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</si>
  <si>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</si>
  <si>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</si>
  <si>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</si>
  <si>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</si>
  <si>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</si>
  <si>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</si>
  <si>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</si>
  <si>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</si>
  <si>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</si>
  <si>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</si>
  <si>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</si>
  <si>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</si>
  <si>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</si>
  <si>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</si>
  <si>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</si>
  <si>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</si>
  <si>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</si>
  <si>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</si>
  <si>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</si>
  <si>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</si>
  <si>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</si>
  <si>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</si>
  <si>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</si>
  <si>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</si>
  <si>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</si>
  <si>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</si>
  <si>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</si>
  <si>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</si>
  <si>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</si>
  <si>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</si>
  <si>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</si>
  <si>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</si>
  <si>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</si>
  <si>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</si>
  <si>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</si>
  <si>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</si>
  <si>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</si>
  <si>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</si>
  <si>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</si>
  <si>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</si>
  <si>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</si>
  <si>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</si>
  <si>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</si>
  <si>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</si>
  <si>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</si>
  <si>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</si>
  <si>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</si>
  <si>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</si>
  <si>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</si>
  <si>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</si>
  <si>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</si>
  <si>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</si>
  <si>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</si>
  <si>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</si>
  <si>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</si>
  <si>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</si>
  <si>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</si>
  <si>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</si>
  <si>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</si>
  <si>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</si>
  <si>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</si>
  <si>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</si>
  <si>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</si>
  <si>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</si>
  <si>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</si>
  <si>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</si>
  <si>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</si>
  <si>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</si>
  <si>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</si>
  <si>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</si>
  <si>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</si>
  <si>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</si>
  <si>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</si>
  <si>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</si>
  <si>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</si>
  <si>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</si>
  <si>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</si>
  <si>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</si>
  <si>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</si>
  <si>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</si>
  <si>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</si>
  <si>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</si>
  <si>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</si>
  <si>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</si>
  <si>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</si>
  <si>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</si>
  <si>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</si>
  <si>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</si>
  <si>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</si>
  <si>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</si>
  <si>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</si>
  <si>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</si>
  <si>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</si>
  <si>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</si>
  <si>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</si>
  <si>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</si>
  <si>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</si>
  <si>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</si>
  <si>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</si>
  <si>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</si>
  <si>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</si>
  <si>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</si>
  <si>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</si>
  <si>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</si>
  <si>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</si>
  <si>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</si>
  <si>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</si>
  <si>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</si>
  <si>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</si>
  <si>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</si>
  <si>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</si>
  <si>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</si>
  <si>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</si>
  <si>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</si>
  <si>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</si>
  <si>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</si>
  <si>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</si>
  <si>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</si>
  <si>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</si>
  <si>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</si>
  <si>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</si>
  <si>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</si>
  <si>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</si>
  <si>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</si>
  <si>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</si>
  <si>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</si>
  <si>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</si>
  <si>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</si>
  <si>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</si>
  <si>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</si>
  <si>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</si>
  <si>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</si>
  <si>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</si>
  <si>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</si>
  <si>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</si>
  <si>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</si>
  <si>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</si>
  <si>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</si>
  <si>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</si>
  <si>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</si>
  <si>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</si>
  <si>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</si>
  <si>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</si>
  <si>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</si>
  <si>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</si>
  <si>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</si>
  <si>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</si>
  <si>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</si>
  <si>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</si>
  <si>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</si>
  <si>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</si>
  <si>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</si>
  <si>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</si>
  <si>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</si>
  <si>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</si>
  <si>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</si>
  <si>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</si>
  <si>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</si>
  <si>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</si>
  <si>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</si>
  <si>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</si>
  <si>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</si>
  <si>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</si>
  <si>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</si>
  <si>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</si>
  <si>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</si>
  <si>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</si>
  <si>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</si>
  <si>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</si>
  <si>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</si>
  <si>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</si>
  <si>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</si>
  <si>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</si>
  <si>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</si>
  <si>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</si>
  <si>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</si>
  <si>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</si>
  <si>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</si>
  <si>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</si>
  <si>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</si>
  <si>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</si>
  <si>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</si>
  <si>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</si>
  <si>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</si>
  <si>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</si>
  <si>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</si>
  <si>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</si>
  <si>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</si>
  <si>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</si>
  <si>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</si>
  <si>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</si>
  <si>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</si>
  <si>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</si>
  <si>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</si>
  <si>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</si>
  <si>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</si>
  <si>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</si>
  <si>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</si>
  <si>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</si>
  <si>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</si>
  <si>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</si>
  <si>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</si>
  <si>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</si>
  <si>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</si>
  <si>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</si>
  <si>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</si>
  <si>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</si>
  <si>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</si>
  <si>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</si>
  <si>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</si>
  <si>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</si>
  <si>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</si>
  <si>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</si>
  <si>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</si>
  <si>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</si>
  <si>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</si>
  <si>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</si>
  <si>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</si>
  <si>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</si>
  <si>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</si>
  <si>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</si>
  <si>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</si>
  <si>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</si>
  <si>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</si>
  <si>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</si>
  <si>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</si>
  <si>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</si>
  <si>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</si>
  <si>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</si>
  <si>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</si>
  <si>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</si>
  <si>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</si>
  <si>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</si>
  <si>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</si>
  <si>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</si>
  <si>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</si>
  <si>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</si>
  <si>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</si>
  <si>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</si>
  <si>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</si>
  <si>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</si>
  <si>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</si>
  <si>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</si>
  <si>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</si>
  <si>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</si>
  <si>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</si>
  <si>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</si>
  <si>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</si>
  <si>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</si>
  <si>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</si>
  <si>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</si>
  <si>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</si>
  <si>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</si>
  <si>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</si>
  <si>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</si>
  <si>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</si>
  <si>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</si>
  <si>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</si>
  <si>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</si>
  <si>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</si>
  <si>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</si>
  <si>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</si>
  <si>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</si>
  <si>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</si>
  <si>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</si>
  <si>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</si>
  <si>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</si>
  <si>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</si>
  <si>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</si>
  <si>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</si>
  <si>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</si>
  <si>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</si>
  <si>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</si>
  <si>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</si>
  <si>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</si>
  <si>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</si>
  <si>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</si>
  <si>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</si>
  <si>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</si>
  <si>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</si>
  <si>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</si>
  <si>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</si>
  <si>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</si>
  <si>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</si>
  <si>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</si>
  <si>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</si>
  <si>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</si>
  <si>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</si>
  <si>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</si>
  <si>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</si>
  <si>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</si>
  <si>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</si>
  <si>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</si>
  <si>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</si>
  <si>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</si>
  <si>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</si>
  <si>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</si>
  <si>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</si>
  <si>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</si>
  <si>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</si>
  <si>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</si>
  <si>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</si>
  <si>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</si>
  <si>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</si>
  <si>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</si>
  <si>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</si>
  <si>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</si>
  <si>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</si>
  <si>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</si>
  <si>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</si>
  <si>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</si>
  <si>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</si>
  <si>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</si>
  <si>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</si>
  <si>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</si>
  <si>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</si>
  <si>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</si>
  <si>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</si>
  <si>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</si>
  <si>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</si>
  <si>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</si>
  <si>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</si>
  <si>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</si>
  <si>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</si>
  <si>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</si>
  <si>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</si>
  <si>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</si>
  <si>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</si>
  <si>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</si>
  <si>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</si>
  <si>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</si>
  <si>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</si>
  <si>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</si>
  <si>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</si>
  <si>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</si>
  <si>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</si>
  <si>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</si>
  <si>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</si>
  <si>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</si>
  <si>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</si>
  <si>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</si>
  <si>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</si>
  <si>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</si>
  <si>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</si>
  <si>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</si>
  <si>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</si>
  <si>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</si>
  <si>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</si>
  <si>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</si>
  <si>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</si>
  <si>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</si>
  <si>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</si>
  <si>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</si>
  <si>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</si>
  <si>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</si>
  <si>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</si>
  <si>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</si>
  <si>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</si>
  <si>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</si>
  <si>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</si>
  <si>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</si>
  <si>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</si>
  <si>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</si>
  <si>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</si>
  <si>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</si>
  <si>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</si>
  <si>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</si>
  <si>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</si>
  <si>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</si>
  <si>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</si>
  <si>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</si>
  <si>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</si>
  <si>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</si>
  <si>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</si>
  <si>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</si>
  <si>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</si>
  <si>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</si>
  <si>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</si>
  <si>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</si>
  <si>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</si>
  <si>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</si>
  <si>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</si>
  <si>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</si>
  <si>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</si>
  <si>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</si>
  <si>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</si>
  <si>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</si>
  <si>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</si>
  <si>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</si>
  <si>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</si>
  <si>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</si>
  <si>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</si>
  <si>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</si>
  <si>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</si>
  <si>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</si>
  <si>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</si>
  <si>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</si>
  <si>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</si>
  <si>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</si>
  <si>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</si>
  <si>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</si>
  <si>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</si>
  <si>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</si>
  <si>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</si>
  <si>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</si>
  <si>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</si>
  <si>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</si>
  <si>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</si>
  <si>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</si>
  <si>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</si>
  <si>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</si>
  <si>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</si>
  <si>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</si>
  <si>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</si>
  <si>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</si>
  <si>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</si>
  <si>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</si>
  <si>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</si>
  <si>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</si>
  <si>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</si>
  <si>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</si>
  <si>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</si>
  <si>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</si>
  <si>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</si>
  <si>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</si>
  <si>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</si>
  <si>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</si>
  <si>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</si>
  <si>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</si>
  <si>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</si>
  <si>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</si>
  <si>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</si>
  <si>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</si>
  <si>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</si>
  <si>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</si>
  <si>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</si>
  <si>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</si>
  <si>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</si>
  <si>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</si>
  <si>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</si>
  <si>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</si>
  <si>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</si>
  <si>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</si>
  <si>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</si>
  <si>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</si>
  <si>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</si>
  <si>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</si>
  <si>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</si>
  <si>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</si>
  <si>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</si>
  <si>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</si>
  <si>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</si>
  <si>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</si>
  <si>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</si>
  <si>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</si>
  <si>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</si>
  <si>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</si>
  <si>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</si>
  <si>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</si>
  <si>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</si>
  <si>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</si>
  <si>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</si>
  <si>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</si>
  <si>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</si>
  <si>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</si>
  <si>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</si>
  <si>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</si>
  <si>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</si>
  <si>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</si>
  <si>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</si>
  <si>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</si>
  <si>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</si>
  <si>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</si>
  <si>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</si>
  <si>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</si>
  <si>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</si>
  <si>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</si>
  <si>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</si>
  <si>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</si>
  <si>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</si>
  <si>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</si>
  <si>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</si>
  <si>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</si>
  <si>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</si>
  <si>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</si>
  <si>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</si>
  <si>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</si>
  <si>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</si>
  <si>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</si>
  <si>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</si>
  <si>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</si>
  <si>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</si>
  <si>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</si>
  <si>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</si>
  <si>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</si>
  <si>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</si>
  <si>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</si>
  <si>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</si>
  <si>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</si>
  <si>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</si>
  <si>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</si>
  <si>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</si>
  <si>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</si>
  <si>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</si>
  <si>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</si>
  <si>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</si>
  <si>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</si>
  <si>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</si>
  <si>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</si>
  <si>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</si>
  <si>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</si>
  <si>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</si>
  <si>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</si>
  <si>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</si>
  <si>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</si>
  <si>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</si>
  <si>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</si>
  <si>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</si>
  <si>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</si>
  <si>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</si>
  <si>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</si>
  <si>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</si>
  <si>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</si>
  <si>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</si>
  <si>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</si>
  <si>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</si>
  <si>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</si>
  <si>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</si>
  <si>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</si>
  <si>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</si>
  <si>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</si>
  <si>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</si>
  <si>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</si>
  <si>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</si>
  <si>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</si>
  <si>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</si>
  <si>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</si>
  <si>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</si>
  <si>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</si>
  <si>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</si>
  <si>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</si>
  <si>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</si>
  <si>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</si>
  <si>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</si>
  <si>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</si>
  <si>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</si>
  <si>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</si>
  <si>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</si>
  <si>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</si>
  <si>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</si>
  <si>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</si>
  <si>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</si>
  <si>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</si>
  <si>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</si>
  <si>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</si>
  <si>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</si>
  <si>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</si>
  <si>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</si>
  <si>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</si>
  <si>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</si>
  <si>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</si>
  <si>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</si>
  <si>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</si>
  <si>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</si>
  <si>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</si>
  <si>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</si>
  <si>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</si>
  <si>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</si>
  <si>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</si>
  <si>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</si>
  <si>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</si>
  <si>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</si>
  <si>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</si>
  <si>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</si>
  <si>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</si>
  <si>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</si>
  <si>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</si>
  <si>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</si>
  <si>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</si>
  <si>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</si>
  <si>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</si>
  <si>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</si>
  <si>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</si>
  <si>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</si>
  <si>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</si>
  <si>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</si>
  <si>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</si>
  <si>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</si>
  <si>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</si>
  <si>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</si>
  <si>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</si>
  <si>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</si>
  <si>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</si>
  <si>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</si>
  <si>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</si>
  <si>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</si>
  <si>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</si>
  <si>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</si>
  <si>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</si>
  <si>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</si>
  <si>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</si>
  <si>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</si>
  <si>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</si>
  <si>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</si>
  <si>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</si>
  <si>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</si>
  <si>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</si>
  <si>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</si>
  <si>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</si>
  <si>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</si>
  <si>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</si>
  <si>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</si>
  <si>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</si>
  <si>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</si>
  <si>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</si>
  <si>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</si>
  <si>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</si>
  <si>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</si>
  <si>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</si>
  <si>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</si>
  <si>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</si>
  <si>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</si>
  <si>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</si>
  <si>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</si>
  <si>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</si>
  <si>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</si>
  <si>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</si>
  <si>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</si>
  <si>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</si>
  <si>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</si>
  <si>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</si>
  <si>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</si>
  <si>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</si>
  <si>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</si>
  <si>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</si>
  <si>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</si>
  <si>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</si>
  <si>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</si>
  <si>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</si>
  <si>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</si>
  <si>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</si>
  <si>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</si>
  <si>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</si>
  <si>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</si>
  <si>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</si>
  <si>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</si>
  <si>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</si>
  <si>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</si>
  <si>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</si>
  <si>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</si>
  <si>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</si>
  <si>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</si>
  <si>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</si>
  <si>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</si>
  <si>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</si>
  <si>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</si>
  <si>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</si>
  <si>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</si>
  <si>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</si>
  <si>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</si>
  <si>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</si>
  <si>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</si>
  <si>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</si>
  <si>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</si>
  <si>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</si>
  <si>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</si>
  <si>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</si>
  <si>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</si>
  <si>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</si>
  <si>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</si>
  <si>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</si>
  <si>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</si>
  <si>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</si>
  <si>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</si>
  <si>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</si>
  <si>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</si>
  <si>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</si>
  <si>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</si>
  <si>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</si>
  <si>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</si>
  <si>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</si>
  <si>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</si>
  <si>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</si>
  <si>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</si>
  <si>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</si>
  <si>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</si>
  <si>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</si>
  <si>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</si>
  <si>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</si>
  <si>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</si>
  <si>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</si>
  <si>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</si>
  <si>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</si>
  <si>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</si>
  <si>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</si>
  <si>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</si>
  <si>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</si>
  <si>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</si>
  <si>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</si>
  <si>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</si>
  <si>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</si>
  <si>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</si>
  <si>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</si>
  <si>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</si>
  <si>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</si>
  <si>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</si>
  <si>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</si>
  <si>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</si>
  <si>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</si>
  <si>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</si>
  <si>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</si>
  <si>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</si>
  <si>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</si>
  <si>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</si>
  <si>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</si>
  <si>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</si>
  <si>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</si>
  <si>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</si>
  <si>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</si>
  <si>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</si>
  <si>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</si>
  <si>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</si>
  <si>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</si>
  <si>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</si>
  <si>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</si>
  <si>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</si>
  <si>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</si>
  <si>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</si>
  <si>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</si>
  <si>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</si>
  <si>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</si>
  <si>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</si>
  <si>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</si>
  <si>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</si>
  <si>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</si>
  <si>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</si>
  <si>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</si>
  <si>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</si>
  <si>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</si>
  <si>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</si>
  <si>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</si>
  <si>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</si>
  <si>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</si>
  <si>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</si>
  <si>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</si>
  <si>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</si>
  <si>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</si>
  <si>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</si>
  <si>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</si>
  <si>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</si>
  <si>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</si>
  <si>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</si>
  <si>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</si>
  <si>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</si>
  <si>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</si>
  <si>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</si>
  <si>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</si>
  <si>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</si>
  <si>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</si>
  <si>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</si>
  <si>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</si>
  <si>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</si>
  <si>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</si>
  <si>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</si>
  <si>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</si>
  <si>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</si>
  <si>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</si>
  <si>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</si>
  <si>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</si>
  <si>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</si>
  <si>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</si>
  <si>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</si>
  <si>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</si>
  <si>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</si>
  <si>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</si>
  <si>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</si>
  <si>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</si>
  <si>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</si>
  <si>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</si>
  <si>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</si>
  <si>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</si>
  <si>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</si>
  <si>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</si>
  <si>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</si>
  <si>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</si>
  <si>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</si>
  <si>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</si>
  <si>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</si>
  <si>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</si>
  <si>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</si>
  <si>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</si>
  <si>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</si>
  <si>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</si>
  <si>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</si>
  <si>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</si>
  <si>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</si>
  <si>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</si>
  <si>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</si>
  <si>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</si>
  <si>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</si>
  <si>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</si>
  <si>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</si>
  <si>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</si>
  <si>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</si>
  <si>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</si>
  <si>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</si>
  <si>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</si>
  <si>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</si>
  <si>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</si>
  <si>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</si>
  <si>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</si>
  <si>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</si>
  <si>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</si>
  <si>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</si>
  <si>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</si>
  <si>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</si>
  <si>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</si>
  <si>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</si>
  <si>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</si>
  <si>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</si>
  <si>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</si>
  <si>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</si>
  <si>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</si>
  <si>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</si>
  <si>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</si>
  <si>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</si>
  <si>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</si>
  <si>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</si>
  <si>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</si>
  <si>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</si>
  <si>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</si>
  <si>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</si>
  <si>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</si>
  <si>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</si>
  <si>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</si>
  <si>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</si>
  <si>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</si>
  <si>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</si>
  <si>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</si>
  <si>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</si>
  <si>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</si>
  <si>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</si>
  <si>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</si>
  <si>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</si>
  <si>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</si>
  <si>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</si>
  <si>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</si>
  <si>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</si>
  <si>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</si>
  <si>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</si>
  <si>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</si>
  <si>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</si>
  <si>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</si>
  <si>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</si>
  <si>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</si>
  <si>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</si>
  <si>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</si>
  <si>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</si>
  <si>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</si>
  <si>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</si>
  <si>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</si>
  <si>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</si>
  <si>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</si>
  <si>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</si>
  <si>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</si>
  <si>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</si>
  <si>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</si>
  <si>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</si>
  <si>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</si>
  <si>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</si>
  <si>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</si>
  <si>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</si>
  <si>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</si>
  <si>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</si>
  <si>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</si>
  <si>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</si>
  <si>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</si>
  <si>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</si>
  <si>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</si>
  <si>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</si>
  <si>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</si>
  <si>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</si>
  <si>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</si>
  <si>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</si>
  <si>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</si>
  <si>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</si>
  <si>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</si>
  <si>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</si>
  <si>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</si>
  <si>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</si>
  <si>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</si>
  <si>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</si>
  <si>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</si>
  <si>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</si>
  <si>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</si>
  <si>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</si>
  <si>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</si>
  <si>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</si>
  <si>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</si>
  <si>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</si>
  <si>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</si>
  <si>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</si>
  <si>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</si>
  <si>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</si>
  <si>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</si>
  <si>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</si>
  <si>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</si>
  <si>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</si>
  <si>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</si>
  <si>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</si>
  <si>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</si>
  <si>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</si>
  <si>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</si>
  <si>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</si>
  <si>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</si>
  <si>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</si>
  <si>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</si>
  <si>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</si>
  <si>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</si>
  <si>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</si>
  <si>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</si>
  <si>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</si>
  <si>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</si>
  <si>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</si>
  <si>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</si>
  <si>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</si>
  <si>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</si>
  <si>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</si>
  <si>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</si>
  <si>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</si>
  <si>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</si>
  <si>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</si>
  <si>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</si>
  <si>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</si>
  <si>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</si>
  <si>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</si>
  <si>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</si>
  <si>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</si>
  <si>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</si>
  <si>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</si>
  <si>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</si>
  <si>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</si>
  <si>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</si>
  <si>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</si>
  <si>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</si>
  <si>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</si>
  <si>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</si>
  <si>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</si>
  <si>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</si>
  <si>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</si>
  <si>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</si>
  <si>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</si>
  <si>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</si>
  <si>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</si>
  <si>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</si>
  <si>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</si>
  <si>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</si>
  <si>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</si>
  <si>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</si>
  <si>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</si>
  <si>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</si>
  <si>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</si>
  <si>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</si>
  <si>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</si>
  <si>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</si>
  <si>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</si>
  <si>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</si>
  <si>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</si>
  <si>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</si>
  <si>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</si>
  <si>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</si>
  <si>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</si>
  <si>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</si>
  <si>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</si>
  <si>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</si>
  <si>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</si>
  <si>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</si>
  <si>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</si>
  <si>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</si>
  <si>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</si>
  <si>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</si>
  <si>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</si>
  <si>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</si>
  <si>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</si>
  <si>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</si>
  <si>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</si>
  <si>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</si>
  <si>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</si>
  <si>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</si>
  <si>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</si>
  <si>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</si>
  <si>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</si>
  <si>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</si>
  <si>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</si>
  <si>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</si>
  <si>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</si>
  <si>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</si>
  <si>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</si>
  <si>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</si>
  <si>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</si>
  <si>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</si>
  <si>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</si>
  <si>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</si>
  <si>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</si>
  <si>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</si>
  <si>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</si>
  <si>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</si>
  <si>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</si>
  <si>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</si>
  <si>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</si>
  <si>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</si>
  <si>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</si>
  <si>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</si>
  <si>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</si>
  <si>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</si>
  <si>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</si>
  <si>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</si>
  <si>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</si>
  <si>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</si>
  <si>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</si>
  <si>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</si>
  <si>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</si>
  <si>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</si>
  <si>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</si>
  <si>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</si>
  <si>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</si>
  <si>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</si>
  <si>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</si>
  <si>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</si>
  <si>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</si>
  <si>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</si>
  <si>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</si>
  <si>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</si>
  <si>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</si>
  <si>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</si>
  <si>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</si>
  <si>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</si>
  <si>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</si>
  <si>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</si>
  <si>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</si>
  <si>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</si>
  <si>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</si>
  <si>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</si>
  <si>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</si>
  <si>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</si>
  <si>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</si>
  <si>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</si>
  <si>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</si>
  <si>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</si>
  <si>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</si>
  <si>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</si>
  <si>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</si>
  <si>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</si>
  <si>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</si>
  <si>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</si>
  <si>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</si>
  <si>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</si>
  <si>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</si>
  <si>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</si>
  <si>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</si>
  <si>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</si>
  <si>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</si>
  <si>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</si>
  <si>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</si>
  <si>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</si>
  <si>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</si>
  <si>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</si>
  <si>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</si>
  <si>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</si>
  <si>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</si>
  <si>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</si>
  <si>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</si>
  <si>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</si>
  <si>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</si>
  <si>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</si>
  <si>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</si>
  <si>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</si>
  <si>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</si>
  <si>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</si>
  <si>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</si>
  <si>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</si>
  <si>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</si>
  <si>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</si>
  <si>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</si>
  <si>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</si>
  <si>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</si>
  <si>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</si>
  <si>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</si>
  <si>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</si>
  <si>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</si>
  <si>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</si>
  <si>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</si>
  <si>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</si>
  <si>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</si>
  <si>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</si>
  <si>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</si>
  <si>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</si>
  <si>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</si>
  <si>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</si>
  <si>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</si>
  <si>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</si>
  <si>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</si>
  <si>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</si>
  <si>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</si>
  <si>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</si>
  <si>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</si>
  <si>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</si>
  <si>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</si>
  <si>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</si>
  <si>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</si>
  <si>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</si>
  <si>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</si>
  <si>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</si>
  <si>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</si>
  <si>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</si>
  <si>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</si>
  <si>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</si>
  <si>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</si>
  <si>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</si>
  <si>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</si>
  <si>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</si>
  <si>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</si>
  <si>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</si>
  <si>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</si>
  <si>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</si>
  <si>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</si>
  <si>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</si>
  <si>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</si>
  <si>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</si>
  <si>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</si>
  <si>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</si>
  <si>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</si>
  <si>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</si>
  <si>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</si>
  <si>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</si>
  <si>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</si>
  <si>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</si>
  <si>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</si>
  <si>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</si>
  <si>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</si>
  <si>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</si>
  <si>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</si>
  <si>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</si>
  <si>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</si>
  <si>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</si>
  <si>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</si>
  <si>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</si>
  <si>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</si>
  <si>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</si>
  <si>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</si>
  <si>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</si>
  <si>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</si>
  <si>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</si>
  <si>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</si>
  <si>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</si>
  <si>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</si>
  <si>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</si>
  <si>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</si>
  <si>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</si>
  <si>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</si>
  <si>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</si>
  <si>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</si>
  <si>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</si>
  <si>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</si>
  <si>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</si>
  <si>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</si>
  <si>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</si>
  <si>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</si>
  <si>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</si>
  <si>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</si>
  <si>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</si>
  <si>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</si>
  <si>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</si>
  <si>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</si>
  <si>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</si>
  <si>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</si>
  <si>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</si>
  <si>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</si>
  <si>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</si>
  <si>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</si>
  <si>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</si>
  <si>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</si>
  <si>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</si>
  <si>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</si>
  <si>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</si>
  <si>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</si>
  <si>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</si>
  <si>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</si>
  <si>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</si>
  <si>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</si>
  <si>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</si>
  <si>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</si>
  <si>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</si>
  <si>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</si>
  <si>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</si>
  <si>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</si>
  <si>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</si>
  <si>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</si>
  <si>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</si>
  <si>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</si>
  <si>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</si>
  <si>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</si>
  <si>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</si>
  <si>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</si>
  <si>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</si>
  <si>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</si>
  <si>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</si>
  <si>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</si>
  <si>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</si>
  <si>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</si>
  <si>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</si>
  <si>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</si>
  <si>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</si>
  <si>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</si>
  <si>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</si>
  <si>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</si>
  <si>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</si>
  <si>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</si>
  <si>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</si>
  <si>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</si>
  <si>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</si>
  <si>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</si>
  <si>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</si>
  <si>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</si>
  <si>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</si>
  <si>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</si>
  <si>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</si>
  <si>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</si>
  <si>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</si>
  <si>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</si>
  <si>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</si>
  <si>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</si>
  <si>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</si>
  <si>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</si>
  <si>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</si>
  <si>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</si>
  <si>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</si>
  <si>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</si>
  <si>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</si>
  <si>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</si>
  <si>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</si>
  <si>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</si>
  <si>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</si>
  <si>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</si>
  <si>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</si>
  <si>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</si>
  <si>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</si>
  <si>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</si>
  <si>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</si>
  <si>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</si>
  <si>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</si>
  <si>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</si>
  <si>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</si>
  <si>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</si>
  <si>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</si>
  <si>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</si>
  <si>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</si>
  <si>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</si>
  <si>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</si>
  <si>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</si>
  <si>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</si>
  <si>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</si>
  <si>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</si>
  <si>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</si>
  <si>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</si>
  <si>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</si>
  <si>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</si>
  <si>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</si>
  <si>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</si>
  <si>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</si>
  <si>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</si>
  <si>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</si>
  <si>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</si>
  <si>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</si>
  <si>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</si>
  <si>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</si>
  <si>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</si>
  <si>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</si>
  <si>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</si>
  <si>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</si>
  <si>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</si>
  <si>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</si>
  <si>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</si>
  <si>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</si>
  <si>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</si>
  <si>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</si>
  <si>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</si>
  <si>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</si>
  <si>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</si>
  <si>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</si>
  <si>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</si>
  <si>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</si>
  <si>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</si>
  <si>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</si>
  <si>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</si>
  <si>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</si>
  <si>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</si>
  <si>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</si>
  <si>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</si>
  <si>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</si>
  <si>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</si>
  <si>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</si>
  <si>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</si>
  <si>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</si>
  <si>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</si>
  <si>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</si>
  <si>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</si>
  <si>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</si>
  <si>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</si>
  <si>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</si>
  <si>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</si>
  <si>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</si>
  <si>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</si>
  <si>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</si>
  <si>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</si>
  <si>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</si>
  <si>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</si>
  <si>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</si>
  <si>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</si>
  <si>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</si>
  <si>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</si>
  <si>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</si>
  <si>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</si>
  <si>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</si>
  <si>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</si>
  <si>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</si>
  <si>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</si>
  <si>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</si>
  <si>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</si>
  <si>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</si>
  <si>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</si>
  <si>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</si>
  <si>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</si>
  <si>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</si>
  <si>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</si>
  <si>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</si>
  <si>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</si>
  <si>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</si>
  <si>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</si>
  <si>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</si>
  <si>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</si>
  <si>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</si>
  <si>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</si>
  <si>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</si>
  <si>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</si>
  <si>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</si>
  <si>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</si>
  <si>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</si>
  <si>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</si>
  <si>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</si>
  <si>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</si>
  <si>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</si>
  <si>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</si>
  <si>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</si>
  <si>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</si>
  <si>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</si>
  <si>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</si>
  <si>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</si>
  <si>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</si>
  <si>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</si>
  <si>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</si>
  <si>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</si>
  <si>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</si>
  <si>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</si>
  <si>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</si>
  <si>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</si>
  <si>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</si>
  <si>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</si>
  <si>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</si>
  <si>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</si>
  <si>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</si>
  <si>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</si>
  <si>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</si>
  <si>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</si>
  <si>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</si>
  <si>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</si>
  <si>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</si>
  <si>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</si>
  <si>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</si>
  <si>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</si>
  <si>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</si>
  <si>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</si>
  <si>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</si>
  <si>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</si>
  <si>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</si>
  <si>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</si>
  <si>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</si>
  <si>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</si>
  <si>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</si>
  <si>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</si>
  <si>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</si>
  <si>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</si>
  <si>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</si>
  <si>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</si>
  <si>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</si>
  <si>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</si>
  <si>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</si>
  <si>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</si>
  <si>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</si>
  <si>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</si>
  <si>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</si>
  <si>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</si>
  <si>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</si>
  <si>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</si>
  <si>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</si>
  <si>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</si>
  <si>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</si>
  <si>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</si>
  <si>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</si>
  <si>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</si>
  <si>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</si>
  <si>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</si>
  <si>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</si>
  <si>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</si>
  <si>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</si>
  <si>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</si>
  <si>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</si>
  <si>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</si>
  <si>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</si>
  <si>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</si>
  <si>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</si>
  <si>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</si>
  <si>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</si>
  <si>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</si>
  <si>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</si>
  <si>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</si>
  <si>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</si>
  <si>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</si>
  <si>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</si>
  <si>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</si>
  <si>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</si>
  <si>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</si>
  <si>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</si>
  <si>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</si>
  <si>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</si>
  <si>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</si>
  <si>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</si>
  <si>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</si>
  <si>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</si>
  <si>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</si>
  <si>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</si>
  <si>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</si>
  <si>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</si>
  <si>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</si>
  <si>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</si>
  <si>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</si>
  <si>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</si>
  <si>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</si>
  <si>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</si>
  <si>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</si>
  <si>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</si>
  <si>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</si>
  <si>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</si>
  <si>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</si>
  <si>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</si>
  <si>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</si>
  <si>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</si>
  <si>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</si>
  <si>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</si>
  <si>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</si>
  <si>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</si>
  <si>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</si>
  <si>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</si>
  <si>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</si>
  <si>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</si>
  <si>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</si>
  <si>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</si>
  <si>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</si>
  <si>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</si>
  <si>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</si>
  <si>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</si>
  <si>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</si>
  <si>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</si>
  <si>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</si>
  <si>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</si>
  <si>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</si>
  <si>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</si>
  <si>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</si>
  <si>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</si>
  <si>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</si>
  <si>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</si>
  <si>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</si>
  <si>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</si>
  <si>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</si>
  <si>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</si>
  <si>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</si>
  <si>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</si>
  <si>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</si>
  <si>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</si>
  <si>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</si>
  <si>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</si>
  <si>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</si>
  <si>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</si>
  <si>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</si>
  <si>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</si>
  <si>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</si>
  <si>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</si>
  <si>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</si>
  <si>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</si>
  <si>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</si>
  <si>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</si>
  <si>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</si>
  <si>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</si>
  <si>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</si>
  <si>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</si>
  <si>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</si>
  <si>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</si>
  <si>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</si>
  <si>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</si>
  <si>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</si>
  <si>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</si>
  <si>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</si>
  <si>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</si>
  <si>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</si>
  <si>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</si>
  <si>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</si>
  <si>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</si>
  <si>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</si>
  <si>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</si>
  <si>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</si>
  <si>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</si>
  <si>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</si>
  <si>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</si>
  <si>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</si>
  <si>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</si>
  <si>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</si>
  <si>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</si>
  <si>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</si>
  <si>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</si>
  <si>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</si>
  <si>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</si>
  <si>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</si>
  <si>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</si>
  <si>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</si>
  <si>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</si>
  <si>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</si>
  <si>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</si>
  <si>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</si>
  <si>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</si>
  <si>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</si>
  <si>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</si>
  <si>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</si>
  <si>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</si>
  <si>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</si>
  <si>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</si>
  <si>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</si>
  <si>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</si>
  <si>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</si>
  <si>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</si>
  <si>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</si>
  <si>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</si>
  <si>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</si>
  <si>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</si>
  <si>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</si>
  <si>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</si>
  <si>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</si>
  <si>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</si>
  <si>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</si>
  <si>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</si>
  <si>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</si>
  <si>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</si>
  <si>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</si>
  <si>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</si>
  <si>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</si>
  <si>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</si>
  <si>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</si>
  <si>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</si>
  <si>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</si>
  <si>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</si>
  <si>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</si>
  <si>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</si>
  <si>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</si>
  <si>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</si>
  <si>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</si>
  <si>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</si>
  <si>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</si>
  <si>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</si>
  <si>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</si>
  <si>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</si>
  <si>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</si>
  <si>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</si>
  <si>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</si>
  <si>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</si>
  <si>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</si>
  <si>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</si>
  <si>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</si>
  <si>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</si>
  <si>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</si>
  <si>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</si>
  <si>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</si>
  <si>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</si>
  <si>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</si>
  <si>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</si>
  <si>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</si>
  <si>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</si>
  <si>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</si>
  <si>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</si>
  <si>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</si>
  <si>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</si>
  <si>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</si>
  <si>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</si>
  <si>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</si>
  <si>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</si>
  <si>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</si>
  <si>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</si>
  <si>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</si>
  <si>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</si>
  <si>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</si>
  <si>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</si>
  <si>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</si>
  <si>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</si>
  <si>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</si>
  <si>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</si>
  <si>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</si>
  <si>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</si>
  <si>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</si>
  <si>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</si>
  <si>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</si>
  <si>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</si>
  <si>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</si>
  <si>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</si>
  <si>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</si>
  <si>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</si>
  <si>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</si>
  <si>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</si>
  <si>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</si>
  <si>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</si>
  <si>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</si>
  <si>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</si>
  <si>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</si>
  <si>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</si>
  <si>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</si>
  <si>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</si>
  <si>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</si>
  <si>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</si>
  <si>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</si>
  <si>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</si>
  <si>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</si>
  <si>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</si>
  <si>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</si>
  <si>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</si>
  <si>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</si>
  <si>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</si>
  <si>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</si>
  <si>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</si>
  <si>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</si>
  <si>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</si>
  <si>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</si>
  <si>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</si>
  <si>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</si>
  <si>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</si>
  <si>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</si>
  <si>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</si>
  <si>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</si>
  <si>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</si>
  <si>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</si>
  <si>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</si>
  <si>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</si>
  <si>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</si>
  <si>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</si>
  <si>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</si>
  <si>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</si>
  <si>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</si>
  <si>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</si>
  <si>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</si>
  <si>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</si>
  <si>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</si>
  <si>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</si>
  <si>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</si>
  <si>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</si>
  <si>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</si>
  <si>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</si>
  <si>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</si>
  <si>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</si>
  <si>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</si>
  <si>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</si>
  <si>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</si>
  <si>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</si>
  <si>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</si>
  <si>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</si>
  <si>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</si>
  <si>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</si>
  <si>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</si>
  <si>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</si>
  <si>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</si>
  <si>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</si>
  <si>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</si>
  <si>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</si>
  <si>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</si>
  <si>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</si>
  <si>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</si>
  <si>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</si>
  <si>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</si>
  <si>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</si>
  <si>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</si>
  <si>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</si>
  <si>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</si>
  <si>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</si>
  <si>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</si>
  <si>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</si>
  <si>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</si>
  <si>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</si>
  <si>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</si>
  <si>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</si>
  <si>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</si>
  <si>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</si>
  <si>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</si>
  <si>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</si>
  <si>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</si>
  <si>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</si>
  <si>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</si>
  <si>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</si>
  <si>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</si>
  <si>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</si>
  <si>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</si>
  <si>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</si>
  <si>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</si>
  <si>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</si>
  <si>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</si>
  <si>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</si>
  <si>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</si>
  <si>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</si>
  <si>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</si>
  <si>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</si>
  <si>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</si>
  <si>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</si>
  <si>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</si>
  <si>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</si>
  <si>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</si>
  <si>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</si>
  <si>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</si>
  <si>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</si>
  <si>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</si>
  <si>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</si>
  <si>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</si>
  <si>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</si>
  <si>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</si>
  <si>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</si>
  <si>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</si>
  <si>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</si>
  <si>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</si>
  <si>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</si>
  <si>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</si>
  <si>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</si>
  <si>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</si>
  <si>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</si>
  <si>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</si>
  <si>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</si>
  <si>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</si>
  <si>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</si>
  <si>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</si>
  <si>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</si>
  <si>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</si>
  <si>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</si>
  <si>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</si>
  <si>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</si>
  <si>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</si>
  <si>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</si>
  <si>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</si>
  <si>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</si>
  <si>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</si>
  <si>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</si>
  <si>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</si>
  <si>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</si>
  <si>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</si>
  <si>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</si>
  <si>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</si>
  <si>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</si>
  <si>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</si>
  <si>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</si>
  <si>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</si>
  <si>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</si>
  <si>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</si>
  <si>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</si>
  <si>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</si>
  <si>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</si>
  <si>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</si>
  <si>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</si>
  <si>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</si>
  <si>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</si>
  <si>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</si>
  <si>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</si>
  <si>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</si>
  <si>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</si>
  <si>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</si>
  <si>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</si>
  <si>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</si>
  <si>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</si>
  <si>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</si>
  <si>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</si>
  <si>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</si>
  <si>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</si>
  <si>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</si>
  <si>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</si>
  <si>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</si>
  <si>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</si>
  <si>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</si>
  <si>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</si>
  <si>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</si>
  <si>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</si>
  <si>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</si>
  <si>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</si>
  <si>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</si>
  <si>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</si>
  <si>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</si>
  <si>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</si>
  <si>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</si>
  <si>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</si>
  <si>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</si>
  <si>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</si>
  <si>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</si>
  <si>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</si>
  <si>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</si>
  <si>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</si>
  <si>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</si>
  <si>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</si>
  <si>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</si>
  <si>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</si>
  <si>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</si>
  <si>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</si>
  <si>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</si>
  <si>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</si>
  <si>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</si>
  <si>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</si>
  <si>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</si>
  <si>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</si>
  <si>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</si>
  <si>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</si>
  <si>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</si>
  <si>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</si>
  <si>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</si>
  <si>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</si>
  <si>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</si>
  <si>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</si>
  <si>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</si>
  <si>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</si>
  <si>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</si>
  <si>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</si>
  <si>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</si>
  <si>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</si>
  <si>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</si>
  <si>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</si>
  <si>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</si>
  <si>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</si>
  <si>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</si>
  <si>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</si>
  <si>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</si>
  <si>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</si>
  <si>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</si>
  <si>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</si>
  <si>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</si>
  <si>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</si>
  <si>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</si>
  <si>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</si>
  <si>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</si>
  <si>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</si>
  <si>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</si>
  <si>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</si>
  <si>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</si>
  <si>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</si>
  <si>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</si>
  <si>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</si>
  <si>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</si>
  <si>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</si>
  <si>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</si>
  <si>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</si>
  <si>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</si>
  <si>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</si>
  <si>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</si>
  <si>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</si>
  <si>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</si>
  <si>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</si>
  <si>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</si>
  <si>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</si>
  <si>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</si>
  <si>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</si>
  <si>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</si>
  <si>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</si>
  <si>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</si>
  <si>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</si>
  <si>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</si>
  <si>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</si>
  <si>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</si>
  <si>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</si>
  <si>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</si>
  <si>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</si>
  <si>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</si>
  <si>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</si>
  <si>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</si>
  <si>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</si>
  <si>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</si>
  <si>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</si>
  <si>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</si>
  <si>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</si>
  <si>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</si>
  <si>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</si>
  <si>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</si>
  <si>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</si>
  <si>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</si>
  <si>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</si>
  <si>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</si>
  <si>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</si>
  <si>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</si>
  <si>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</si>
  <si>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</si>
  <si>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</si>
  <si>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</si>
  <si>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</si>
  <si>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</si>
  <si>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</si>
  <si>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</si>
  <si>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</si>
  <si>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</si>
  <si>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</si>
  <si>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</si>
  <si>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</si>
  <si>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</si>
  <si>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</si>
  <si>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</si>
  <si>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</si>
  <si>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</si>
  <si>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</si>
  <si>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</si>
  <si>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</si>
  <si>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</si>
  <si>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</si>
  <si>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</si>
  <si>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</si>
  <si>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</si>
  <si>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</si>
  <si>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</si>
  <si>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</si>
  <si>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</si>
  <si>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</si>
  <si>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</si>
  <si>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</si>
  <si>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</si>
  <si>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</si>
  <si>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</si>
  <si>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</si>
  <si>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</si>
  <si>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</si>
  <si>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</si>
  <si>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</si>
  <si>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</si>
  <si>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</si>
  <si>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</si>
  <si>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</si>
  <si>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</si>
  <si>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</si>
  <si>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</si>
  <si>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</si>
  <si>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</si>
  <si>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</si>
  <si>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</si>
  <si>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</si>
  <si>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</si>
  <si>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</si>
  <si>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</si>
  <si>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</si>
  <si>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</si>
  <si>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</si>
  <si>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</si>
  <si>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</si>
  <si>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</si>
  <si>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</si>
  <si>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</si>
  <si>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</si>
  <si>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</si>
  <si>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</si>
  <si>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</si>
  <si>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</si>
  <si>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</si>
  <si>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</si>
  <si>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</si>
  <si>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</si>
  <si>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</si>
  <si>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</si>
  <si>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</si>
  <si>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</si>
  <si>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</si>
  <si>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</si>
  <si>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</si>
  <si>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</si>
  <si>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</si>
  <si>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</si>
  <si>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</si>
  <si>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</si>
  <si>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</si>
  <si>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</si>
  <si>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</si>
  <si>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</si>
  <si>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</si>
  <si>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</si>
  <si>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</si>
  <si>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</si>
  <si>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</si>
  <si>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</si>
  <si>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</si>
  <si>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</si>
  <si>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</si>
  <si>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</si>
  <si>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</si>
  <si>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</si>
  <si>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</si>
  <si>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</si>
  <si>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</si>
  <si>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</si>
  <si>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</si>
  <si>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</si>
  <si>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</si>
  <si>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</si>
  <si>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</si>
  <si>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</si>
  <si>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</si>
  <si>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</si>
  <si>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</si>
  <si>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</si>
  <si>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</si>
  <si>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</si>
  <si>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</si>
  <si>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</si>
  <si>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</si>
  <si>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</si>
  <si>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</si>
  <si>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</si>
  <si>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</si>
  <si>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</si>
  <si>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</si>
  <si>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</si>
  <si>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</si>
  <si>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</si>
  <si>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</si>
  <si>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</si>
  <si>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</si>
  <si>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</si>
  <si>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</si>
  <si>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</si>
  <si>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</si>
  <si>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</si>
  <si>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</si>
  <si>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</si>
  <si>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</si>
  <si>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</si>
  <si>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</si>
  <si>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</si>
  <si>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</si>
  <si>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</si>
  <si>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</si>
  <si>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</si>
  <si>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</si>
  <si>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</si>
  <si>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</si>
  <si>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</si>
  <si>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</si>
  <si>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</si>
  <si>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</si>
  <si>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</si>
  <si>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</si>
  <si>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</si>
  <si>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</si>
  <si>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</si>
  <si>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</si>
  <si>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</si>
  <si>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</si>
  <si>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</si>
  <si>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</si>
  <si>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</si>
  <si>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</si>
  <si>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</si>
  <si>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</si>
  <si>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</si>
  <si>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</si>
  <si>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</si>
  <si>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</si>
  <si>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</si>
  <si>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</si>
  <si>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</si>
  <si>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</si>
  <si>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</si>
  <si>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</si>
  <si>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</si>
  <si>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</si>
  <si>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</si>
  <si>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</si>
  <si>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</si>
  <si>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</si>
  <si>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</si>
  <si>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</si>
  <si>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</si>
  <si>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</si>
  <si>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</si>
  <si>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</si>
  <si>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</si>
  <si>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</si>
  <si>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</si>
  <si>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</si>
  <si>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</si>
  <si>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</si>
  <si>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</si>
  <si>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</si>
  <si>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</si>
  <si>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</si>
  <si>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</si>
  <si>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</si>
  <si>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</si>
  <si>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</si>
  <si>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</si>
  <si>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</si>
  <si>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</si>
  <si>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</si>
  <si>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</si>
  <si>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</si>
  <si>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</si>
  <si>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</si>
  <si>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</si>
  <si>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</si>
  <si>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</si>
  <si>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</si>
  <si>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</si>
  <si>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</si>
  <si>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</si>
  <si>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</si>
  <si>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</si>
  <si>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</si>
  <si>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</si>
  <si>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</si>
  <si>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</si>
  <si>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</si>
  <si>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</si>
  <si>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</si>
  <si>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</si>
  <si>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</si>
  <si>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</si>
  <si>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</si>
  <si>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</si>
  <si>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</si>
  <si>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</si>
  <si>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</si>
  <si>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</si>
  <si>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</si>
  <si>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</si>
  <si>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</si>
  <si>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</si>
  <si>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</si>
  <si>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</si>
  <si>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</si>
  <si>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</si>
  <si>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</si>
  <si>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</si>
  <si>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</si>
  <si>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</si>
  <si>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</si>
  <si>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</si>
  <si>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</si>
  <si>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</si>
  <si>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</si>
  <si>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</si>
  <si>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</si>
  <si>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</si>
  <si>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</si>
  <si>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</si>
  <si>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</si>
  <si>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</si>
  <si>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</si>
  <si>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</si>
  <si>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</si>
  <si>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</si>
  <si>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</si>
  <si>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</si>
  <si>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</si>
  <si>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</si>
  <si>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</si>
  <si>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</si>
  <si>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</si>
  <si>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</si>
  <si>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</si>
  <si>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</si>
  <si>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</si>
  <si>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</si>
  <si>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</si>
  <si>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</si>
  <si>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</si>
  <si>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</si>
  <si>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</si>
  <si>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</si>
  <si>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</si>
  <si>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</si>
  <si>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</si>
  <si>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</si>
  <si>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</si>
  <si>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</si>
  <si>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</si>
  <si>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</si>
  <si>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</si>
  <si>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</si>
  <si>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</si>
  <si>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</si>
  <si>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</si>
  <si>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</si>
  <si>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</si>
  <si>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</si>
  <si>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</si>
  <si>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</si>
  <si>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</si>
  <si>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</si>
  <si>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</si>
  <si>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</si>
  <si>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</si>
  <si>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</si>
  <si>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</si>
  <si>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</si>
  <si>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</si>
  <si>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</si>
  <si>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</si>
  <si>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</si>
  <si>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</si>
  <si>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</si>
  <si>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</si>
  <si>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</si>
  <si>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</si>
  <si>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</si>
  <si>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</si>
  <si>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</si>
  <si>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</si>
  <si>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</si>
  <si>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</si>
  <si>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</si>
  <si>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</si>
  <si>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</si>
  <si>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</si>
  <si>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</si>
  <si>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</si>
  <si>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</si>
  <si>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</si>
  <si>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</si>
  <si>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</si>
  <si>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</si>
  <si>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</si>
  <si>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</si>
  <si>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</si>
  <si>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</si>
  <si>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</si>
  <si>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</si>
  <si>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</si>
  <si>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</si>
  <si>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</si>
  <si>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</si>
  <si>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</si>
  <si>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</si>
  <si>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</si>
  <si>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</si>
  <si>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</si>
  <si>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</si>
  <si>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</si>
  <si>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</si>
  <si>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</si>
  <si>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</si>
  <si>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</si>
  <si>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</si>
  <si>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</si>
  <si>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</si>
  <si>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</si>
  <si>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</si>
  <si>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</si>
  <si>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</si>
  <si>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</si>
  <si>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</si>
  <si>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</si>
  <si>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</si>
  <si>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</si>
  <si>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</si>
  <si>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</si>
  <si>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</si>
  <si>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</si>
  <si>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</si>
  <si>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</si>
  <si>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</si>
  <si>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</si>
  <si>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</si>
  <si>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</si>
  <si>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</si>
  <si>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</si>
  <si>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</si>
  <si>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</si>
  <si>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</si>
  <si>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</si>
  <si>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</si>
  <si>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</si>
  <si>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</si>
  <si>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</si>
  <si>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</si>
  <si>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</si>
  <si>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</si>
  <si>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</si>
  <si>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</si>
  <si>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</si>
  <si>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</si>
  <si>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</si>
  <si>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</si>
  <si>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</si>
  <si>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</si>
  <si>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</si>
  <si>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</si>
  <si>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</si>
  <si>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</si>
  <si>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</si>
  <si>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</si>
  <si>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</si>
  <si>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</si>
  <si>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</si>
  <si>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</si>
  <si>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</si>
  <si>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</si>
  <si>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</si>
  <si>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</si>
  <si>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</si>
  <si>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</si>
  <si>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</si>
  <si>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</si>
  <si>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</si>
  <si>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</si>
  <si>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</si>
  <si>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</si>
  <si>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</si>
  <si>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</si>
  <si>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</si>
  <si>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</si>
  <si>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</si>
  <si>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</si>
  <si>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</si>
  <si>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</si>
  <si>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</si>
  <si>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</si>
  <si>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</si>
  <si>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</si>
  <si>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</si>
  <si>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</si>
  <si>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</si>
  <si>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</si>
  <si>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</si>
  <si>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</si>
  <si>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</si>
  <si>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</si>
  <si>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</si>
  <si>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</si>
  <si>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</si>
  <si>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</si>
  <si>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</si>
  <si>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</si>
  <si>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</si>
  <si>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</si>
  <si>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</si>
  <si>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</si>
  <si>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</si>
  <si>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</si>
  <si>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</si>
  <si>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</si>
  <si>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</si>
  <si>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</si>
  <si>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</si>
  <si>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</si>
  <si>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</si>
  <si>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</si>
  <si>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</si>
  <si>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</si>
  <si>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</si>
  <si>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</si>
  <si>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</si>
  <si>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</si>
  <si>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</si>
  <si>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</si>
  <si>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</si>
  <si>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</si>
  <si>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</si>
  <si>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</si>
  <si>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</si>
  <si>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</si>
  <si>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</si>
  <si>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</si>
  <si>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</si>
  <si>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</si>
  <si>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</si>
  <si>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</si>
  <si>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</si>
  <si>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</si>
  <si>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</si>
  <si>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</si>
  <si>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</si>
  <si>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</si>
  <si>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</si>
  <si>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</si>
  <si>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</si>
  <si>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</si>
  <si>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</si>
  <si>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</si>
  <si>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</si>
  <si>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</si>
  <si>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</si>
  <si>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</si>
  <si>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</si>
  <si>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</si>
  <si>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</si>
  <si>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</si>
  <si>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</si>
  <si>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</si>
  <si>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</si>
  <si>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</si>
  <si>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</si>
  <si>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</si>
  <si>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</si>
  <si>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</si>
  <si>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</si>
  <si>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</si>
  <si>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</si>
  <si>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</si>
  <si>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</si>
  <si>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</si>
  <si>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</si>
  <si>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</si>
  <si>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</si>
  <si>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</si>
  <si>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</si>
  <si>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</si>
  <si>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</si>
  <si>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</si>
  <si>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</si>
  <si>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</si>
  <si>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</si>
  <si>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</si>
  <si>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</si>
  <si>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</si>
  <si>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</si>
  <si>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</si>
  <si>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</si>
  <si>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</si>
  <si>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</si>
  <si>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</si>
  <si>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</si>
  <si>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</si>
  <si>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</si>
  <si>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</si>
  <si>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</si>
  <si>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</si>
  <si>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</si>
  <si>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</si>
  <si>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</si>
  <si>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</si>
  <si>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</si>
  <si>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</si>
  <si>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</si>
  <si>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</si>
  <si>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</si>
  <si>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</si>
  <si>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</si>
  <si>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</si>
  <si>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</si>
  <si>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</si>
  <si>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</si>
  <si>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</si>
  <si>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</si>
  <si>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</si>
  <si>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</si>
  <si>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</si>
  <si>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</si>
  <si>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</si>
  <si>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</si>
  <si>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</si>
  <si>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</si>
  <si>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</si>
  <si>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</si>
  <si>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</si>
  <si>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</si>
  <si>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</si>
  <si>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</si>
  <si>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</si>
  <si>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</si>
  <si>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</si>
  <si>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</si>
  <si>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</si>
  <si>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</si>
  <si>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</si>
  <si>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</si>
  <si>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</si>
  <si>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</si>
  <si>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</si>
  <si>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</si>
  <si>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</si>
  <si>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</si>
  <si>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</si>
  <si>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</si>
  <si>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</si>
  <si>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</si>
  <si>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</si>
  <si>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</si>
  <si>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</si>
  <si>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</si>
  <si>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</si>
  <si>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</si>
  <si>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</si>
  <si>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</si>
  <si>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</si>
  <si>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</si>
  <si>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</si>
  <si>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</si>
  <si>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</si>
  <si>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</si>
  <si>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</si>
  <si>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</si>
  <si>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</si>
  <si>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</si>
  <si>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</si>
  <si>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</si>
  <si>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</si>
  <si>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</si>
  <si>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</si>
  <si>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</si>
  <si>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</si>
  <si>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</si>
  <si>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</si>
  <si>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</si>
  <si>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</si>
  <si>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</si>
  <si>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</si>
  <si>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</si>
  <si>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</si>
  <si>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</si>
  <si>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</si>
  <si>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</si>
  <si>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</si>
  <si>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</si>
  <si>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</si>
  <si>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</si>
  <si>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</si>
  <si>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</si>
  <si>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</si>
  <si>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</si>
  <si>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</si>
  <si>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</si>
  <si>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</si>
  <si>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</si>
  <si>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</si>
  <si>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</si>
  <si>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</si>
  <si>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</si>
  <si>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</si>
  <si>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</si>
  <si>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</si>
  <si>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</si>
  <si>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</si>
  <si>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</si>
  <si>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</si>
  <si>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</si>
  <si>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</si>
  <si>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</si>
  <si>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</si>
  <si>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</si>
  <si>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</si>
  <si>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</si>
  <si>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</si>
  <si>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</si>
  <si>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</si>
  <si>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</si>
  <si>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</si>
  <si>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</si>
  <si>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</si>
  <si>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</si>
  <si>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</si>
  <si>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</si>
  <si>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</si>
  <si>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</si>
  <si>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</si>
  <si>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</si>
  <si>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</si>
  <si>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</si>
  <si>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</si>
  <si>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</si>
  <si>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</si>
  <si>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</si>
  <si>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</si>
  <si>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</si>
  <si>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</si>
  <si>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</si>
  <si>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</si>
  <si>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</si>
  <si>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</si>
  <si>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</si>
  <si>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</si>
  <si>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</si>
  <si>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</si>
  <si>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</si>
  <si>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</si>
  <si>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</si>
  <si>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</si>
  <si>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</si>
  <si>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</si>
  <si>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</si>
  <si>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</si>
  <si>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</si>
  <si>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</si>
  <si>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</si>
  <si>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</si>
  <si>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</si>
  <si>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</si>
  <si>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</si>
  <si>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</si>
  <si>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</si>
  <si>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</si>
  <si>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</si>
  <si>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</si>
  <si>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</si>
  <si>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</si>
  <si>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</si>
  <si>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</si>
  <si>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</si>
  <si>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</si>
  <si>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</si>
  <si>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</si>
  <si>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</si>
  <si>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</si>
  <si>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</si>
  <si>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</si>
  <si>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</si>
  <si>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</si>
  <si>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</si>
  <si>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</si>
  <si>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</si>
  <si>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</si>
  <si>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</si>
  <si>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</si>
  <si>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</si>
  <si>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</si>
  <si>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</si>
  <si>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</si>
  <si>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</si>
  <si>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</si>
  <si>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</si>
  <si>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</si>
  <si>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</si>
  <si>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</si>
  <si>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</si>
  <si>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</si>
  <si>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</si>
  <si>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</si>
  <si>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</si>
  <si>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</si>
  <si>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</si>
  <si>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</si>
  <si>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</si>
  <si>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</si>
  <si>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</si>
  <si>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</si>
  <si>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</si>
  <si>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</si>
  <si>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</si>
  <si>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</si>
  <si>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</si>
  <si>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</si>
  <si>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</si>
  <si>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</si>
  <si>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</si>
  <si>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</si>
  <si>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</si>
  <si>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</si>
  <si>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</si>
  <si>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</si>
  <si>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</si>
  <si>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</si>
  <si>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</si>
  <si>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</si>
  <si>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</si>
  <si>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</si>
  <si>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</si>
  <si>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</si>
  <si>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</si>
  <si>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</si>
  <si>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</si>
  <si>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</si>
  <si>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</si>
  <si>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</si>
  <si>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</si>
  <si>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</si>
  <si>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</si>
  <si>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</si>
  <si>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</si>
  <si>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</si>
  <si>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</si>
  <si>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</si>
  <si>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</si>
  <si>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</si>
  <si>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</si>
  <si>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</si>
  <si>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</si>
  <si>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</si>
  <si>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</si>
  <si>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</si>
  <si>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</si>
  <si>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</si>
  <si>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</si>
  <si>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</si>
  <si>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</si>
  <si>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</si>
  <si>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</si>
  <si>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</si>
  <si>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</si>
  <si>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</si>
  <si>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</si>
  <si>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</si>
  <si>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</si>
  <si>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</si>
  <si>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</si>
  <si>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</si>
  <si>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</si>
  <si>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</si>
  <si>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</si>
  <si>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</si>
  <si>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</si>
  <si>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</si>
  <si>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</si>
  <si>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</si>
  <si>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</si>
  <si>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</si>
  <si>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</si>
  <si>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</si>
  <si>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</si>
  <si>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</si>
  <si>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</si>
  <si>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</si>
  <si>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</si>
  <si>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</si>
  <si>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</si>
  <si>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</si>
  <si>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</si>
  <si>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</si>
  <si>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</si>
  <si>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</si>
  <si>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</si>
  <si>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</si>
  <si>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</si>
  <si>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</si>
  <si>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</si>
  <si>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</si>
  <si>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</si>
  <si>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</si>
  <si>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</si>
  <si>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</si>
  <si>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</si>
  <si>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</si>
  <si>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</si>
  <si>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</si>
  <si>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</si>
  <si>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</si>
  <si>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</si>
  <si>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</si>
  <si>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</si>
  <si>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</si>
  <si>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</si>
  <si>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</si>
  <si>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</si>
  <si>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</si>
  <si>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</si>
  <si>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</si>
  <si>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</si>
  <si>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</si>
  <si>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</si>
  <si>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</si>
  <si>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</si>
  <si>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</si>
  <si>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</si>
  <si>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</si>
  <si>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</si>
  <si>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</si>
  <si>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</si>
  <si>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</si>
  <si>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</si>
  <si>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</si>
  <si>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</si>
  <si>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</si>
  <si>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</si>
  <si>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</si>
  <si>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</si>
  <si>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</si>
  <si>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</si>
  <si>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</si>
  <si>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</si>
  <si>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</si>
  <si>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</si>
  <si>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</si>
  <si>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</si>
  <si>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</si>
  <si>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</si>
  <si>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</si>
  <si>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</si>
  <si>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</si>
  <si>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</si>
  <si>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</si>
  <si>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</si>
  <si>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</si>
  <si>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</si>
  <si>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</si>
  <si>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</si>
  <si>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</si>
  <si>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</si>
  <si>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</si>
  <si>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</si>
  <si>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</si>
  <si>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</si>
  <si>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</si>
  <si>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</si>
  <si>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</si>
  <si>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</si>
  <si>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</si>
  <si>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</si>
  <si>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</si>
  <si>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</si>
  <si>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</si>
  <si>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</si>
  <si>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</si>
  <si>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</si>
  <si>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</si>
  <si>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</si>
  <si>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</si>
  <si>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</si>
  <si>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</si>
  <si>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</si>
  <si>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</si>
  <si>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</si>
  <si>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</si>
  <si>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</si>
  <si>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</si>
  <si>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</si>
  <si>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</si>
  <si>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</si>
  <si>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</si>
  <si>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</si>
  <si>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</si>
  <si>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</si>
  <si>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</si>
  <si>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</si>
  <si>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</si>
  <si>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</si>
  <si>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</si>
  <si>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</si>
  <si>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</si>
  <si>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</si>
  <si>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</si>
  <si>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</si>
  <si>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</si>
  <si>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</si>
  <si>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</si>
  <si>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</si>
  <si>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</si>
  <si>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</si>
  <si>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</si>
  <si>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</si>
  <si>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</si>
  <si>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</si>
  <si>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</si>
  <si>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</si>
  <si>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</si>
  <si>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</si>
  <si>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</si>
  <si>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</si>
  <si>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</si>
  <si>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</si>
  <si>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</si>
  <si>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</si>
  <si>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</si>
  <si>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</si>
  <si>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</si>
  <si>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</si>
  <si>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</si>
  <si>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</si>
  <si>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</si>
  <si>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</si>
  <si>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</si>
  <si>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</si>
  <si>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</si>
  <si>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</si>
  <si>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</si>
  <si>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</si>
  <si>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</si>
  <si>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</si>
  <si>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</si>
  <si>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</si>
  <si>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</si>
  <si>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</si>
  <si>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</si>
  <si>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</si>
  <si>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</si>
  <si>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</si>
  <si>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</si>
  <si>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</si>
  <si>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</si>
  <si>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</si>
  <si>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</si>
  <si>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</si>
  <si>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</si>
  <si>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</si>
  <si>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</si>
  <si>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</si>
  <si>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</si>
  <si>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</si>
  <si>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</si>
  <si>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</si>
  <si>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</si>
  <si>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</si>
  <si>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</si>
  <si>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</si>
  <si>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</si>
  <si>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</si>
  <si>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</si>
  <si>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</si>
  <si>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</si>
  <si>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</si>
  <si>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</si>
  <si>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</si>
  <si>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</si>
  <si>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</si>
  <si>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</si>
  <si>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</si>
  <si>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</si>
  <si>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</si>
  <si>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</si>
  <si>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</si>
  <si>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</si>
  <si>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</si>
  <si>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</si>
  <si>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</si>
  <si>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</si>
  <si>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</si>
  <si>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</si>
  <si>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</si>
  <si>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</si>
  <si>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</si>
  <si>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</si>
  <si>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</si>
  <si>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</si>
  <si>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</si>
  <si>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</si>
  <si>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</si>
  <si>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</si>
  <si>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</si>
  <si>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</si>
  <si>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</si>
  <si>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</si>
  <si>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</si>
  <si>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</si>
  <si>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</si>
  <si>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</si>
  <si>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</si>
  <si>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</si>
  <si>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</si>
  <si>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</si>
  <si>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</si>
  <si>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</si>
  <si>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</si>
  <si>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</si>
  <si>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</si>
  <si>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</si>
  <si>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</si>
  <si>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</si>
  <si>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</si>
  <si>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</si>
  <si>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</si>
  <si>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</si>
  <si>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</si>
  <si>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</si>
  <si>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</si>
  <si>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</si>
  <si>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</si>
  <si>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</si>
  <si>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</si>
  <si>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</si>
  <si>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</si>
  <si>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</si>
  <si>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</si>
  <si>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</si>
  <si>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</si>
  <si>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</si>
  <si>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</si>
  <si>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</si>
  <si>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</si>
  <si>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</si>
  <si>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</si>
  <si>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</si>
  <si>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</si>
  <si>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</si>
  <si>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</si>
  <si>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</si>
  <si>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</si>
  <si>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</si>
  <si>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</si>
  <si>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</si>
  <si>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</si>
  <si>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</si>
  <si>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</si>
  <si>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</si>
  <si>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</si>
  <si>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</si>
  <si>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</si>
  <si>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</si>
  <si>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</si>
  <si>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</si>
  <si>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</si>
  <si>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</si>
  <si>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</si>
  <si>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</si>
  <si>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</si>
  <si>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</si>
  <si>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</si>
  <si>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</si>
  <si>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</si>
  <si>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</si>
  <si>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</si>
  <si>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</si>
  <si>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</si>
  <si>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</si>
  <si>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</si>
  <si>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</si>
  <si>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</si>
  <si>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</si>
  <si>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</si>
  <si>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</si>
  <si>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</si>
  <si>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</si>
  <si>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</si>
  <si>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</si>
  <si>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</si>
  <si>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</si>
  <si>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</si>
  <si>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</si>
  <si>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</si>
  <si>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</si>
  <si>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</si>
  <si>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</si>
  <si>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</si>
  <si>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</si>
  <si>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</si>
  <si>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</si>
  <si>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</si>
  <si>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</si>
  <si>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</si>
  <si>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</si>
  <si>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</si>
  <si>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</si>
  <si>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</si>
  <si>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</si>
  <si>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</si>
  <si>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</si>
  <si>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</si>
  <si>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</si>
  <si>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</si>
  <si>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</si>
  <si>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</si>
  <si>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</si>
  <si>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</si>
  <si>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</si>
  <si>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</si>
  <si>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</si>
  <si>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</si>
  <si>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</si>
  <si>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</si>
  <si>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</si>
  <si>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</si>
  <si>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</si>
  <si>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</si>
  <si>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</si>
  <si>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</si>
  <si>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</si>
  <si>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</si>
  <si>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</si>
  <si>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</si>
  <si>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</si>
  <si>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</si>
  <si>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</si>
  <si>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</si>
  <si>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</si>
  <si>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</si>
  <si>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</si>
  <si>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</si>
  <si>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</si>
  <si>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</si>
  <si>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</si>
  <si>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</si>
  <si>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</si>
  <si>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</si>
  <si>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</si>
  <si>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</si>
  <si>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</si>
  <si>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</si>
  <si>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</si>
  <si>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</si>
  <si>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</si>
  <si>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</si>
  <si>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</si>
  <si>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</si>
  <si>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</si>
  <si>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</si>
  <si>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</si>
  <si>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</si>
  <si>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</si>
  <si>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</si>
  <si>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</si>
  <si>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</si>
  <si>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</si>
  <si>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</si>
  <si>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</si>
  <si>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</si>
  <si>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</si>
  <si>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</si>
  <si>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</si>
  <si>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</si>
  <si>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</si>
  <si>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</si>
  <si>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</si>
  <si>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</si>
  <si>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</si>
  <si>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</si>
  <si>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</si>
  <si>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</si>
  <si>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</si>
  <si>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</si>
  <si>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</si>
  <si>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</si>
  <si>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</si>
  <si>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</si>
  <si>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</si>
  <si>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</si>
  <si>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</si>
  <si>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</si>
  <si>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</si>
  <si>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</si>
  <si>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</si>
  <si>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</si>
  <si>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</si>
  <si>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</si>
  <si>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</si>
  <si>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</si>
  <si>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</si>
  <si>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</si>
  <si>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</si>
  <si>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</si>
  <si>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</si>
  <si>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</si>
  <si>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</si>
  <si>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</si>
  <si>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</si>
  <si>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</si>
  <si>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</si>
  <si>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</si>
  <si>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</si>
  <si>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</si>
  <si>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</si>
  <si>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</si>
  <si>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</si>
  <si>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</si>
  <si>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</si>
  <si>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</si>
  <si>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</si>
  <si>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</si>
  <si>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</si>
  <si>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</si>
  <si>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</si>
  <si>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</si>
  <si>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</si>
  <si>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</si>
  <si>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</si>
  <si>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</si>
  <si>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</si>
  <si>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</si>
  <si>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</si>
  <si>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</si>
  <si>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</si>
  <si>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</si>
  <si>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</si>
  <si>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</si>
  <si>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</si>
  <si>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</si>
  <si>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</si>
  <si>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</si>
  <si>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</si>
  <si>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</si>
  <si>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</si>
  <si>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</si>
  <si>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</si>
  <si>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</si>
  <si>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</si>
  <si>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</si>
  <si>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</si>
  <si>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</si>
  <si>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</si>
  <si>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</si>
  <si>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</si>
  <si>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</si>
  <si>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</si>
  <si>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</si>
  <si>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</si>
  <si>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</si>
  <si>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</si>
  <si>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</si>
  <si>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</si>
  <si>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</si>
  <si>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</si>
  <si>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</si>
  <si>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</si>
  <si>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</si>
  <si>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</si>
  <si>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</si>
  <si>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</si>
  <si>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</si>
  <si>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</si>
  <si>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</si>
  <si>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</si>
  <si>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</si>
  <si>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</si>
  <si>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</si>
  <si>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</si>
  <si>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</si>
  <si>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</si>
  <si>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</si>
  <si>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</si>
  <si>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</si>
  <si>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</si>
  <si>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</si>
  <si>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</si>
  <si>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</si>
  <si>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</si>
  <si>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</si>
  <si>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</si>
  <si>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</si>
  <si>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</si>
  <si>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</si>
  <si>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</si>
  <si>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</si>
  <si>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</si>
  <si>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</si>
  <si>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</si>
  <si>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</si>
  <si>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</si>
  <si>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</si>
  <si>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</si>
  <si>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</si>
  <si>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</si>
  <si>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</si>
  <si>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</si>
  <si>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</si>
  <si>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</si>
  <si>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</si>
  <si>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</si>
  <si>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</si>
  <si>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</si>
  <si>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</si>
  <si>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</si>
  <si>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</si>
  <si>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</si>
  <si>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</si>
  <si>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</si>
  <si>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</si>
  <si>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</si>
  <si>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</si>
  <si>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</si>
  <si>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</si>
  <si>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</si>
  <si>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</si>
  <si>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</si>
  <si>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</si>
  <si>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</si>
  <si>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</si>
  <si>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</si>
  <si>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</si>
  <si>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</si>
  <si>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</si>
  <si>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</si>
  <si>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</si>
  <si>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</si>
  <si>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</si>
  <si>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</si>
  <si>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</si>
  <si>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</si>
  <si>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</si>
  <si>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</si>
  <si>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</si>
  <si>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</si>
  <si>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</si>
  <si>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</si>
  <si>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</si>
  <si>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</si>
  <si>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</si>
  <si>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</si>
  <si>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</si>
  <si>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</si>
  <si>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</si>
  <si>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</si>
  <si>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</si>
  <si>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</si>
  <si>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</si>
  <si>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</si>
  <si>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</si>
  <si>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</si>
  <si>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</si>
  <si>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</si>
  <si>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</si>
  <si>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</si>
  <si>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</si>
  <si>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</si>
  <si>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</si>
  <si>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</si>
  <si>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</si>
  <si>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</si>
  <si>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</si>
  <si>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</si>
  <si>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</si>
  <si>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</si>
  <si>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</si>
  <si>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</si>
  <si>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</si>
  <si>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</si>
  <si>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</si>
  <si>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</si>
  <si>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</si>
  <si>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</si>
  <si>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</si>
  <si>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</si>
  <si>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</si>
  <si>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</si>
  <si>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</si>
  <si>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</si>
  <si>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</si>
  <si>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</si>
  <si>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</si>
  <si>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</si>
  <si>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</si>
  <si>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</si>
  <si>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</si>
  <si>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</si>
  <si>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</si>
  <si>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</si>
  <si>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</si>
  <si>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</si>
  <si>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</si>
  <si>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</si>
  <si>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</si>
  <si>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</si>
  <si>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</si>
  <si>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</si>
  <si>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</si>
  <si>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</si>
  <si>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</si>
  <si>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</si>
  <si>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</si>
  <si>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</si>
  <si>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</si>
  <si>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</si>
  <si>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</si>
  <si>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</si>
  <si>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</si>
  <si>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</si>
  <si>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</si>
  <si>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</si>
  <si>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</si>
  <si>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</si>
  <si>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</si>
  <si>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</si>
  <si>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</si>
  <si>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</si>
  <si>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</si>
  <si>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</si>
  <si>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</si>
  <si>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</si>
  <si>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</si>
  <si>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</si>
  <si>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</si>
  <si>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</si>
  <si>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</si>
  <si>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</si>
  <si>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</si>
  <si>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</si>
  <si>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</si>
  <si>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</si>
  <si>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</si>
  <si>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</si>
  <si>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</si>
  <si>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</si>
  <si>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</si>
  <si>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</si>
  <si>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</si>
  <si>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</si>
  <si>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</si>
  <si>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</si>
  <si>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</si>
  <si>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</si>
  <si>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</si>
  <si>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</si>
  <si>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</si>
  <si>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</si>
  <si>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</si>
  <si>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</si>
  <si>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</si>
  <si>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</si>
  <si>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</si>
  <si>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</si>
  <si>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</si>
  <si>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</si>
  <si>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</si>
  <si>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</si>
  <si>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</si>
  <si>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</si>
  <si>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</si>
  <si>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</si>
  <si>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</si>
  <si>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</si>
  <si>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</si>
  <si>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</si>
  <si>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</si>
  <si>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</si>
  <si>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</si>
  <si>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</si>
  <si>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</si>
  <si>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</si>
  <si>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</si>
  <si>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</si>
  <si>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</si>
  <si>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</si>
  <si>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</si>
  <si>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</si>
  <si>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</si>
  <si>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</si>
  <si>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</si>
  <si>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</si>
  <si>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</si>
  <si>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</si>
  <si>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</si>
  <si>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</si>
  <si>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</si>
  <si>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</si>
  <si>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</si>
  <si>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</si>
  <si>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</si>
  <si>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</si>
  <si>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</si>
  <si>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</si>
  <si>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</si>
  <si>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</si>
  <si>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</si>
  <si>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</si>
  <si>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</si>
  <si>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</si>
  <si>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</si>
  <si>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</si>
  <si>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</si>
  <si>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</si>
  <si>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</si>
  <si>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</si>
  <si>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</si>
  <si>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</si>
  <si>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</si>
  <si>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</si>
  <si>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</si>
  <si>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</si>
  <si>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</si>
  <si>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</si>
  <si>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</si>
  <si>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</si>
  <si>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</si>
  <si>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</si>
  <si>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</si>
  <si>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</si>
  <si>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</si>
  <si>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</si>
  <si>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</si>
  <si>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</si>
  <si>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</si>
  <si>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</si>
  <si>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</si>
  <si>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</si>
  <si>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</si>
  <si>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</si>
  <si>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</si>
  <si>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</si>
  <si>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</si>
  <si>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</si>
  <si>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</si>
  <si>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</si>
  <si>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</si>
  <si>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</si>
  <si>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</si>
  <si>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</si>
  <si>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</si>
  <si>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</si>
  <si>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</si>
  <si>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</si>
  <si>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</si>
  <si>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</si>
  <si>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</si>
  <si>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</si>
  <si>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</si>
  <si>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</si>
  <si>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</si>
  <si>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</si>
  <si>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</si>
  <si>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</si>
  <si>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</si>
  <si>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</si>
  <si>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</si>
  <si>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</si>
  <si>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</si>
  <si>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</si>
  <si>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</si>
  <si>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</si>
  <si>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</si>
  <si>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</si>
  <si>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</si>
  <si>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</si>
  <si>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</si>
  <si>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</si>
  <si>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</si>
  <si>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</si>
  <si>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</si>
  <si>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</si>
  <si>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</si>
  <si>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</si>
  <si>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</si>
  <si>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</si>
  <si>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</si>
  <si>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</si>
  <si>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</si>
  <si>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</si>
  <si>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</si>
  <si>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</si>
  <si>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</si>
  <si>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</si>
  <si>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</si>
  <si>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</si>
  <si>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</si>
  <si>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</si>
  <si>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</si>
  <si>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</si>
  <si>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</si>
  <si>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</si>
  <si>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</si>
  <si>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</si>
  <si>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</si>
  <si>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</si>
  <si>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</si>
  <si>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</si>
  <si>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</si>
  <si>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</si>
  <si>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</si>
  <si>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</si>
  <si>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</si>
  <si>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</si>
  <si>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</si>
  <si>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</si>
  <si>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</si>
  <si>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</si>
  <si>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</si>
  <si>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</si>
  <si>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</si>
  <si>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</si>
  <si>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</si>
  <si>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</si>
  <si>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</si>
  <si>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</si>
  <si>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</si>
  <si>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</si>
  <si>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</si>
  <si>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</si>
  <si>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</si>
  <si>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</si>
  <si>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</si>
  <si>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</si>
  <si>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</si>
  <si>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</si>
  <si>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</si>
  <si>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</si>
  <si>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</si>
  <si>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</si>
  <si>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</si>
  <si>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</si>
  <si>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</si>
  <si>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</si>
  <si>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</si>
  <si>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</si>
  <si>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</si>
  <si>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</si>
  <si>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</si>
  <si>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</si>
  <si>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</si>
  <si>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</si>
  <si>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</si>
  <si>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</si>
  <si>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</si>
  <si>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</si>
  <si>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</si>
  <si>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</si>
  <si>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</si>
  <si>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</si>
  <si>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</si>
  <si>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</si>
  <si>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</si>
  <si>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</si>
  <si>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</si>
  <si>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</si>
  <si>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</si>
  <si>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</si>
  <si>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</si>
  <si>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</si>
  <si>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</si>
  <si>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</si>
  <si>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</si>
  <si>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</si>
  <si>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</si>
  <si>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</si>
  <si>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</si>
  <si>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</si>
  <si>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</si>
  <si>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</si>
  <si>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</si>
  <si>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</si>
  <si>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</si>
  <si>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</si>
  <si>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</si>
  <si>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</si>
  <si>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</si>
  <si>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</si>
  <si>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</si>
  <si>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</si>
  <si>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</si>
  <si>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</si>
  <si>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</si>
  <si>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</si>
  <si>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</si>
  <si>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</si>
  <si>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</si>
  <si>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</si>
  <si>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</si>
  <si>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</si>
  <si>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</si>
  <si>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</si>
  <si>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</si>
  <si>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</si>
  <si>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</si>
  <si>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</si>
  <si>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</si>
  <si>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</si>
  <si>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</si>
  <si>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</si>
  <si>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</si>
  <si>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</si>
  <si>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</si>
  <si>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</si>
  <si>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</si>
  <si>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</si>
  <si>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</si>
  <si>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</si>
  <si>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</si>
  <si>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</si>
  <si>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</si>
  <si>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</si>
  <si>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</si>
  <si>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</si>
  <si>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</si>
  <si>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</si>
  <si>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</si>
  <si>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</si>
  <si>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</si>
  <si>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</si>
  <si>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</si>
  <si>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</si>
  <si>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</si>
  <si>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</si>
  <si>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</si>
  <si>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</si>
  <si>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</si>
  <si>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</si>
  <si>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</si>
  <si>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</si>
  <si>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</si>
  <si>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</si>
  <si>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</si>
  <si>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</si>
  <si>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</si>
  <si>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</si>
  <si>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</si>
  <si>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</si>
  <si>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</si>
  <si>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</si>
  <si>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</si>
  <si>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</si>
  <si>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</si>
  <si>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</si>
  <si>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</si>
  <si>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</si>
  <si>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</si>
  <si>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</si>
  <si>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</si>
  <si>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</si>
  <si>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</si>
  <si>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</si>
  <si>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</si>
  <si>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</si>
  <si>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</si>
  <si>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</si>
  <si>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</si>
  <si>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</si>
  <si>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</si>
  <si>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</si>
  <si>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</si>
  <si>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</si>
  <si>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</si>
  <si>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</si>
  <si>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</si>
  <si>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</si>
  <si>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</si>
  <si>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</si>
  <si>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</si>
  <si>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</si>
  <si>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</si>
  <si>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</si>
  <si>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</si>
  <si>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</si>
  <si>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</si>
  <si>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</si>
  <si>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</si>
  <si>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</si>
  <si>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</si>
  <si>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</si>
  <si>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</si>
  <si>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</si>
  <si>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</si>
  <si>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</si>
  <si>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</si>
  <si>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</si>
  <si>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</si>
  <si>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</si>
  <si>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</si>
  <si>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</si>
  <si>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</si>
  <si>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</si>
  <si>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</si>
  <si>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</si>
  <si>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</si>
  <si>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</si>
  <si>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</si>
  <si>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</si>
  <si>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</si>
  <si>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</si>
  <si>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</si>
  <si>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</si>
  <si>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</si>
  <si>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</si>
  <si>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</si>
  <si>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</si>
  <si>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</si>
  <si>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</si>
  <si>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</si>
  <si>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</si>
  <si>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</si>
  <si>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</si>
  <si>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</si>
  <si>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</si>
  <si>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</si>
  <si>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</si>
  <si>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</si>
  <si>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</si>
  <si>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</si>
  <si>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</si>
  <si>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</si>
  <si>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</si>
  <si>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</si>
  <si>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</si>
  <si>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</si>
  <si>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</si>
  <si>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</si>
  <si>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</si>
  <si>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</si>
  <si>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</si>
  <si>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</si>
  <si>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</si>
  <si>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</si>
  <si>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</si>
  <si>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</si>
  <si>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</si>
  <si>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</si>
  <si>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</si>
  <si>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</si>
  <si>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</si>
  <si>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</si>
  <si>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</si>
  <si>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</si>
  <si>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</si>
  <si>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</si>
  <si>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</si>
  <si>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</si>
  <si>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</si>
  <si>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</si>
  <si>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</si>
  <si>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</si>
  <si>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</si>
  <si>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</si>
  <si>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</si>
  <si>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</si>
  <si>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</si>
  <si>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</si>
  <si>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</si>
  <si>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</si>
  <si>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</si>
  <si>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</si>
  <si>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</si>
  <si>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</si>
  <si>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</si>
  <si>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</si>
  <si>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</si>
  <si>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</si>
  <si>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</si>
  <si>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</si>
  <si>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</si>
  <si>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</si>
  <si>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</si>
  <si>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</si>
  <si>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</si>
  <si>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</si>
  <si>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</si>
  <si>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</si>
  <si>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</si>
  <si>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</si>
  <si>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</si>
  <si>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</si>
  <si>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</si>
  <si>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</si>
  <si>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</si>
  <si>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</si>
  <si>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</si>
  <si>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</si>
  <si>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</si>
  <si>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</si>
  <si>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</si>
  <si>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</si>
  <si>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</si>
  <si>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</si>
  <si>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</si>
  <si>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</si>
  <si>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</si>
  <si>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</si>
  <si>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</si>
  <si>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</si>
  <si>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</si>
  <si>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</si>
  <si>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</si>
  <si>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</si>
  <si>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</si>
  <si>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</si>
  <si>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</si>
  <si>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</si>
  <si>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</si>
  <si>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</si>
  <si>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</si>
  <si>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</si>
  <si>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</si>
  <si>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</si>
  <si>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</si>
  <si>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</si>
  <si>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</si>
  <si>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</si>
  <si>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</si>
  <si>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</si>
  <si>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</si>
  <si>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</si>
  <si>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</si>
  <si>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</si>
  <si>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</si>
  <si>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</si>
  <si>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</si>
  <si>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</si>
  <si>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</si>
  <si>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</si>
  <si>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</si>
  <si>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</si>
  <si>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</si>
  <si>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</si>
  <si>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</si>
  <si>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</si>
  <si>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</si>
  <si>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</si>
  <si>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</si>
  <si>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</si>
  <si>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</si>
  <si>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</si>
  <si>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</si>
  <si>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</si>
  <si>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</si>
  <si>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</si>
  <si>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</si>
  <si>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</si>
  <si>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</si>
  <si>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</si>
  <si>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</si>
  <si>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</si>
  <si>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</si>
  <si>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</si>
  <si>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</si>
  <si>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</si>
  <si>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</si>
  <si>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</si>
  <si>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</si>
  <si>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</si>
  <si>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</si>
  <si>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</si>
  <si>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</si>
  <si>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</si>
  <si>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زدشت 339 تا 195</t>
  </si>
  <si>
    <t>زدشت</t>
  </si>
  <si>
    <t>وغدیر 23000 تا 173</t>
  </si>
  <si>
    <t>زدشت 338 تا 195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</si>
  <si>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</si>
  <si>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</si>
  <si>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</si>
  <si>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</si>
  <si>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</si>
  <si>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</si>
  <si>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</si>
  <si>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</si>
  <si>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</si>
  <si>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</si>
  <si>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</si>
  <si>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</si>
  <si>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شفا</t>
  </si>
  <si>
    <t>وبهمن</t>
  </si>
  <si>
    <t>وسکاب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</si>
  <si>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</si>
  <si>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</si>
  <si>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</si>
  <si>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</si>
  <si>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</si>
  <si>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</si>
  <si>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</si>
  <si>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</si>
  <si>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</si>
  <si>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</si>
  <si>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</si>
  <si>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</si>
  <si>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</si>
  <si>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</si>
  <si>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</si>
  <si>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</si>
  <si>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</si>
  <si>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</si>
  <si>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</si>
  <si>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</si>
  <si>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</si>
  <si>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</si>
  <si>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</si>
  <si>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</si>
  <si>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</si>
  <si>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</si>
  <si>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</si>
  <si>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</si>
  <si>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</si>
  <si>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</si>
  <si>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 xml:space="preserve">2/11/1397 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</si>
  <si>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</si>
  <si>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</si>
  <si>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</si>
  <si>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</si>
  <si>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</si>
  <si>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</si>
  <si>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</si>
  <si>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</si>
  <si>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</si>
  <si>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تعداد 31 عدد سکه در بورس علی و 50 سکه در بورس مریم متعلق به صندوق نیست 1/11/97</t>
  </si>
  <si>
    <t>10+50+20+1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</si>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</sst>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14" fontId="0" fillId="0" borderId="0" xfId="0" applyNumberFormat="1"/>
    <xf numFmtId="0" fontId="0" fillId="2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0"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4683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4683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4700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0</v>
      </c>
      <c r="C11" s="18">
        <v>0</v>
      </c>
      <c r="D11" s="113">
        <f t="shared" si="0"/>
        <v>0</v>
      </c>
      <c r="E11" s="19" t="s">
        <v>4586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4623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4634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4650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4658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4658</v>
      </c>
      <c r="B29" s="18">
        <v>0</v>
      </c>
      <c r="C29" s="18">
        <v>0</v>
      </c>
      <c r="D29" s="113">
        <f t="shared" si="0"/>
        <v>0</v>
      </c>
      <c r="E29" s="19" t="s">
        <v>4664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4666</v>
      </c>
      <c r="B30" s="18">
        <v>0</v>
      </c>
      <c r="C30" s="18">
        <v>0</v>
      </c>
      <c r="D30" s="113">
        <f t="shared" si="0"/>
        <v>0</v>
      </c>
      <c r="E30" s="19" t="s">
        <v>4677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4666</v>
      </c>
      <c r="B31" s="169">
        <v>0</v>
      </c>
      <c r="C31" s="169">
        <v>0</v>
      </c>
      <c r="D31" s="169">
        <f t="shared" si="0"/>
        <v>0</v>
      </c>
      <c r="E31" s="169" t="s">
        <v>4676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4694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4695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4701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4702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4575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4575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4580</v>
      </c>
      <c r="B273" s="18">
        <v>-900000</v>
      </c>
      <c r="C273" s="18">
        <v>0</v>
      </c>
      <c r="D273" s="18">
        <f t="shared" si="18"/>
        <v>-900000</v>
      </c>
      <c r="E273" s="99" t="s">
        <v>4588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4585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4585</v>
      </c>
      <c r="B275" s="18">
        <v>-1287000</v>
      </c>
      <c r="C275" s="18">
        <v>0</v>
      </c>
      <c r="D275" s="18">
        <f t="shared" si="18"/>
        <v>-1287000</v>
      </c>
      <c r="E275" s="99" t="s">
        <v>4586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4582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4595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4602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4604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4606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4621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4621</v>
      </c>
      <c r="B285" s="18">
        <v>-3995000</v>
      </c>
      <c r="C285" s="18">
        <v>0</v>
      </c>
      <c r="D285" s="18">
        <f t="shared" si="18"/>
        <v>-3995000</v>
      </c>
      <c r="E285" s="99" t="s">
        <v>4623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4631</v>
      </c>
      <c r="B286" s="18">
        <v>-2010700</v>
      </c>
      <c r="C286" s="18">
        <v>0</v>
      </c>
      <c r="D286" s="18">
        <f t="shared" si="18"/>
        <v>-2010700</v>
      </c>
      <c r="E286" s="99" t="s">
        <v>4636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4631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4637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4650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4666</v>
      </c>
      <c r="B293" s="18">
        <v>-96850</v>
      </c>
      <c r="C293" s="18">
        <v>0</v>
      </c>
      <c r="D293" s="18">
        <f t="shared" si="18"/>
        <v>-96850</v>
      </c>
      <c r="E293" s="99" t="s">
        <v>4678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4683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4683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4703</v>
      </c>
      <c r="B296" s="18">
        <v>-200000</v>
      </c>
      <c r="C296" s="18">
        <v>0</v>
      </c>
      <c r="D296" s="18">
        <f t="shared" si="18"/>
        <v>-200000</v>
      </c>
      <c r="E296" s="99" t="s">
        <v>4704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4595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4614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4615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4616</v>
      </c>
      <c r="J263" t="s">
        <v>25</v>
      </c>
      <c r="K263" t="s">
        <v>25</v>
      </c>
    </row>
    <row r="264" spans="1:11">
      <c r="A264" s="99" t="s">
        <v>4609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4648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4647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4631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4650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4683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4595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9"/>
  <sheetViews>
    <sheetView tabSelected="1" topLeftCell="H30" zoomScaleNormal="100" workbookViewId="0">
      <selection activeCell="N39" sqref="N3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153643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115</v>
      </c>
      <c r="T20" s="169" t="s">
        <v>4310</v>
      </c>
      <c r="U20" s="169">
        <v>192.1</v>
      </c>
      <c r="V20" s="169">
        <f t="shared" ref="V20:V34" si="6">U20*(1+$N$91+$Q$15*S20/36500)</f>
        <v>211.19842410958904</v>
      </c>
      <c r="W20" s="32">
        <f t="shared" ref="W20:W34" si="7">V20*(1+$W$19/100)</f>
        <v>215.42239259178083</v>
      </c>
      <c r="X20" s="32">
        <f t="shared" ref="X20:X34" si="8">V20*(1+$X$19/100)</f>
        <v>219.6463610739726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291</v>
      </c>
      <c r="AM20" s="113">
        <f>AJ20*AL20</f>
        <v>5238000000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-N33</f>
        <v>167621624.59514803</v>
      </c>
      <c r="M21" s="169" t="s">
        <v>4302</v>
      </c>
      <c r="N21" s="113">
        <f>O21*P21</f>
        <v>12576962.600000001</v>
      </c>
      <c r="O21" s="99">
        <v>73207</v>
      </c>
      <c r="P21" s="188">
        <f>P44</f>
        <v>171.8</v>
      </c>
      <c r="Q21" s="170">
        <v>1450345</v>
      </c>
      <c r="R21" s="169" t="s">
        <v>4306</v>
      </c>
      <c r="S21" s="194">
        <f>S20-36</f>
        <v>79</v>
      </c>
      <c r="T21" s="169" t="s">
        <v>4311</v>
      </c>
      <c r="U21" s="169">
        <v>313.7</v>
      </c>
      <c r="V21" s="169">
        <f t="shared" si="6"/>
        <v>336.22451945205478</v>
      </c>
      <c r="W21" s="32">
        <f t="shared" si="7"/>
        <v>342.94900984109586</v>
      </c>
      <c r="X21" s="32">
        <f t="shared" si="8"/>
        <v>349.67350023013699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290</v>
      </c>
      <c r="AM21" s="113">
        <f t="shared" ref="AM21:AM131" si="10">AJ21*AL21</f>
        <v>725000000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8388727.2000000011</v>
      </c>
      <c r="O22" s="99">
        <v>28504</v>
      </c>
      <c r="P22" s="188">
        <f>P45</f>
        <v>294.3</v>
      </c>
      <c r="Q22" s="170">
        <v>400069</v>
      </c>
      <c r="R22" s="169" t="s">
        <v>4312</v>
      </c>
      <c r="S22" s="194">
        <f>S21-1</f>
        <v>78</v>
      </c>
      <c r="T22" s="169" t="s">
        <v>4313</v>
      </c>
      <c r="U22" s="169">
        <v>314.8</v>
      </c>
      <c r="V22" s="169">
        <f t="shared" si="6"/>
        <v>337.16201205479456</v>
      </c>
      <c r="W22" s="32">
        <f t="shared" si="7"/>
        <v>343.90525229589048</v>
      </c>
      <c r="X22" s="32">
        <f t="shared" si="8"/>
        <v>350.64849253698634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289</v>
      </c>
      <c r="AM22" s="113">
        <f t="shared" si="10"/>
        <v>2312000000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4709</v>
      </c>
      <c r="N23" s="113">
        <f>O23*P23</f>
        <v>294995</v>
      </c>
      <c r="O23" s="99">
        <v>1439</v>
      </c>
      <c r="P23" s="188">
        <f>P50</f>
        <v>205</v>
      </c>
      <c r="Q23" s="170">
        <v>7118256</v>
      </c>
      <c r="R23" s="169" t="s">
        <v>4312</v>
      </c>
      <c r="S23" s="194">
        <f>S22</f>
        <v>78</v>
      </c>
      <c r="T23" s="169" t="s">
        <v>4542</v>
      </c>
      <c r="U23" s="169">
        <v>313</v>
      </c>
      <c r="V23" s="169">
        <f t="shared" si="6"/>
        <v>335.23414794520551</v>
      </c>
      <c r="W23" s="32">
        <f t="shared" si="7"/>
        <v>341.93883090410964</v>
      </c>
      <c r="X23" s="32">
        <f t="shared" si="8"/>
        <v>348.64351386301377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288</v>
      </c>
      <c r="AM23" s="113">
        <f t="shared" si="10"/>
        <v>-22910976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L71</f>
        <v>343080698.59514803</v>
      </c>
      <c r="G24" s="95">
        <f t="shared" si="0"/>
        <v>-62774353.213209391</v>
      </c>
      <c r="H24" s="11"/>
      <c r="I24" s="96"/>
      <c r="J24" s="96"/>
      <c r="K24" s="169"/>
      <c r="L24" s="117"/>
      <c r="M24" s="169" t="s">
        <v>4639</v>
      </c>
      <c r="N24" s="113">
        <f>O24*P24</f>
        <v>96228.599999999991</v>
      </c>
      <c r="O24" s="99">
        <v>338</v>
      </c>
      <c r="P24" s="188">
        <f>P49</f>
        <v>284.7</v>
      </c>
      <c r="Q24" s="170">
        <v>595156</v>
      </c>
      <c r="R24" s="169" t="s">
        <v>4399</v>
      </c>
      <c r="S24" s="195">
        <f>S23-16</f>
        <v>62</v>
      </c>
      <c r="T24" s="169" t="s">
        <v>4402</v>
      </c>
      <c r="U24" s="169">
        <v>5808.5</v>
      </c>
      <c r="V24" s="169">
        <f t="shared" si="6"/>
        <v>6149.8170082191782</v>
      </c>
      <c r="W24" s="32">
        <f t="shared" si="7"/>
        <v>6272.8133483835618</v>
      </c>
      <c r="X24" s="32">
        <f t="shared" si="8"/>
        <v>6395.8096885479454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287</v>
      </c>
      <c r="AM24" s="113">
        <f t="shared" si="10"/>
        <v>47498500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 t="s">
        <v>456</v>
      </c>
      <c r="L25" s="117">
        <v>500000</v>
      </c>
      <c r="M25" s="169" t="s">
        <v>4401</v>
      </c>
      <c r="N25" s="113">
        <f>O25*P25</f>
        <v>4192564.1999999997</v>
      </c>
      <c r="O25" s="99">
        <v>781</v>
      </c>
      <c r="P25" s="99">
        <f>P46</f>
        <v>5368.2</v>
      </c>
      <c r="Q25" s="170">
        <v>1484689</v>
      </c>
      <c r="R25" s="169" t="s">
        <v>4437</v>
      </c>
      <c r="S25" s="169">
        <f>S24-7</f>
        <v>55</v>
      </c>
      <c r="T25" s="19" t="s">
        <v>4440</v>
      </c>
      <c r="U25" s="169">
        <v>5474</v>
      </c>
      <c r="V25" s="169">
        <f t="shared" si="6"/>
        <v>5766.266608219179</v>
      </c>
      <c r="W25" s="32">
        <f t="shared" si="7"/>
        <v>5881.5919403835624</v>
      </c>
      <c r="X25" s="32">
        <f t="shared" si="8"/>
        <v>5996.9172725479466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275</v>
      </c>
      <c r="AM25" s="113">
        <f t="shared" si="10"/>
        <v>-7928339925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69"/>
      <c r="N26" s="113"/>
      <c r="O26" s="69"/>
      <c r="P26" s="99"/>
      <c r="Q26" s="170">
        <v>2197673</v>
      </c>
      <c r="R26" s="169" t="s">
        <v>4437</v>
      </c>
      <c r="S26" s="169">
        <f>S25</f>
        <v>55</v>
      </c>
      <c r="T26" s="19" t="s">
        <v>4441</v>
      </c>
      <c r="U26" s="169">
        <v>5349</v>
      </c>
      <c r="V26" s="169">
        <f t="shared" si="6"/>
        <v>5634.5926356164391</v>
      </c>
      <c r="W26" s="32">
        <f>V26*(1+$W$19/100)</f>
        <v>5747.284488328768</v>
      </c>
      <c r="X26" s="32">
        <f t="shared" si="8"/>
        <v>5859.9763410410969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269</v>
      </c>
      <c r="AM26" s="113">
        <f t="shared" si="10"/>
        <v>4976500000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4467</v>
      </c>
      <c r="N27" s="113">
        <v>153643</v>
      </c>
      <c r="O27" s="69" t="s">
        <v>25</v>
      </c>
      <c r="P27" s="99"/>
      <c r="Q27" s="170">
        <v>1353959</v>
      </c>
      <c r="R27" s="169" t="s">
        <v>4437</v>
      </c>
      <c r="S27" s="202">
        <f>S26</f>
        <v>55</v>
      </c>
      <c r="T27" s="19" t="s">
        <v>4483</v>
      </c>
      <c r="U27" s="169">
        <v>192.2</v>
      </c>
      <c r="V27" s="169">
        <f t="shared" si="6"/>
        <v>202.46190027397262</v>
      </c>
      <c r="W27" s="32">
        <f t="shared" si="7"/>
        <v>206.51113827945207</v>
      </c>
      <c r="X27" s="32">
        <f t="shared" si="8"/>
        <v>210.56037628493152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268</v>
      </c>
      <c r="AM27" s="113">
        <f t="shared" si="10"/>
        <v>-4971400000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4639</v>
      </c>
      <c r="N28" s="113">
        <f>O28*P28</f>
        <v>96228.599999999991</v>
      </c>
      <c r="O28" s="69">
        <v>338</v>
      </c>
      <c r="P28" s="99">
        <f>P49</f>
        <v>284.7</v>
      </c>
      <c r="Q28" s="170">
        <v>1614398</v>
      </c>
      <c r="R28" s="169" t="s">
        <v>4445</v>
      </c>
      <c r="S28" s="169">
        <f>S27-3</f>
        <v>52</v>
      </c>
      <c r="T28" s="19" t="s">
        <v>4521</v>
      </c>
      <c r="U28" s="169">
        <v>184.6</v>
      </c>
      <c r="V28" s="169">
        <f t="shared" si="6"/>
        <v>194.03128986301368</v>
      </c>
      <c r="W28" s="32">
        <f t="shared" si="7"/>
        <v>197.91191566027396</v>
      </c>
      <c r="X28" s="32">
        <f t="shared" si="8"/>
        <v>201.79254145753424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267</v>
      </c>
      <c r="AM28" s="113">
        <f t="shared" si="10"/>
        <v>-17344587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4709</v>
      </c>
      <c r="N29" s="113">
        <f>O29*P29</f>
        <v>294995</v>
      </c>
      <c r="O29" s="69">
        <v>1439</v>
      </c>
      <c r="P29" s="99">
        <f>P50</f>
        <v>205</v>
      </c>
      <c r="Q29" s="170">
        <v>133576</v>
      </c>
      <c r="R29" s="169" t="s">
        <v>4528</v>
      </c>
      <c r="S29" s="201">
        <f>S28-22</f>
        <v>30</v>
      </c>
      <c r="T29" s="169" t="s">
        <v>4529</v>
      </c>
      <c r="U29" s="169">
        <v>166.2</v>
      </c>
      <c r="V29" s="169">
        <f t="shared" si="6"/>
        <v>171.88631671232878</v>
      </c>
      <c r="W29" s="32">
        <f t="shared" si="7"/>
        <v>175.32404304657535</v>
      </c>
      <c r="X29" s="32">
        <f t="shared" si="8"/>
        <v>178.76176938082193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262</v>
      </c>
      <c r="AM29" s="113">
        <f t="shared" si="10"/>
        <v>1676800000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/>
      <c r="L30" s="117"/>
      <c r="M30" s="192" t="s">
        <v>4446</v>
      </c>
      <c r="N30" s="113">
        <f>O30*P30</f>
        <v>2978153</v>
      </c>
      <c r="O30" s="69">
        <v>17335</v>
      </c>
      <c r="P30" s="99">
        <f>P44</f>
        <v>171.8</v>
      </c>
      <c r="Q30" s="170">
        <v>220803</v>
      </c>
      <c r="R30" s="169" t="s">
        <v>4232</v>
      </c>
      <c r="S30" s="201">
        <f>S29-1</f>
        <v>29</v>
      </c>
      <c r="T30" s="169" t="s">
        <v>4535</v>
      </c>
      <c r="U30" s="169">
        <v>166</v>
      </c>
      <c r="V30" s="169">
        <f t="shared" si="6"/>
        <v>171.55213150684932</v>
      </c>
      <c r="W30" s="32">
        <f t="shared" si="7"/>
        <v>174.98317413698632</v>
      </c>
      <c r="X30" s="32">
        <f t="shared" si="8"/>
        <v>178.41421676712329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261</v>
      </c>
      <c r="AM30" s="113">
        <f t="shared" si="10"/>
        <v>-44370000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/>
      <c r="N31" s="113"/>
      <c r="P31" t="s">
        <v>25</v>
      </c>
      <c r="Q31" s="170">
        <v>1023940</v>
      </c>
      <c r="R31" s="169" t="s">
        <v>4536</v>
      </c>
      <c r="S31" s="201">
        <f>S30-2</f>
        <v>27</v>
      </c>
      <c r="T31" s="169" t="s">
        <v>4543</v>
      </c>
      <c r="U31" s="169">
        <v>160.19999999999999</v>
      </c>
      <c r="V31" s="169">
        <f t="shared" si="6"/>
        <v>165.31235506849316</v>
      </c>
      <c r="W31" s="32">
        <f t="shared" si="7"/>
        <v>168.61860216986304</v>
      </c>
      <c r="X31" s="32">
        <f t="shared" si="8"/>
        <v>171.92484927123289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256</v>
      </c>
      <c r="AM31" s="113">
        <f t="shared" si="10"/>
        <v>-1612800000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25</v>
      </c>
      <c r="L32" s="117"/>
      <c r="M32" s="169" t="s">
        <v>756</v>
      </c>
      <c r="N32" s="113">
        <v>3000000</v>
      </c>
      <c r="O32" t="s">
        <v>25</v>
      </c>
      <c r="P32" t="s">
        <v>25</v>
      </c>
      <c r="Q32" s="170">
        <v>66208</v>
      </c>
      <c r="R32" s="169" t="s">
        <v>4637</v>
      </c>
      <c r="S32" s="201">
        <f>S31-25</f>
        <v>2</v>
      </c>
      <c r="T32" s="169" t="s">
        <v>4641</v>
      </c>
      <c r="U32" s="169">
        <v>195</v>
      </c>
      <c r="V32" s="169">
        <f t="shared" si="6"/>
        <v>197.48317808219181</v>
      </c>
      <c r="W32" s="32">
        <f t="shared" si="7"/>
        <v>201.43284164383564</v>
      </c>
      <c r="X32" s="32">
        <f t="shared" si="8"/>
        <v>205.3825052054795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255</v>
      </c>
      <c r="AM32" s="113">
        <f t="shared" si="10"/>
        <v>-13263825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 t="s">
        <v>918</v>
      </c>
      <c r="L33" s="117">
        <v>4800000</v>
      </c>
      <c r="M33" s="169" t="s">
        <v>4150</v>
      </c>
      <c r="N33" s="113">
        <f>-S112</f>
        <v>-167621624.59514803</v>
      </c>
      <c r="O33" s="96" t="s">
        <v>25</v>
      </c>
      <c r="P33" s="96" t="s">
        <v>25</v>
      </c>
      <c r="Q33" s="170">
        <v>168846</v>
      </c>
      <c r="R33" s="169" t="s">
        <v>3692</v>
      </c>
      <c r="S33" s="201">
        <f>S32-3</f>
        <v>-1</v>
      </c>
      <c r="T33" s="169" t="s">
        <v>4653</v>
      </c>
      <c r="U33" s="169">
        <v>172.2</v>
      </c>
      <c r="V33" s="169">
        <f t="shared" si="6"/>
        <v>173.99654136986302</v>
      </c>
      <c r="W33" s="32">
        <f t="shared" si="7"/>
        <v>177.47647219726028</v>
      </c>
      <c r="X33" s="32">
        <f t="shared" si="8"/>
        <v>180.95640302465756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239</v>
      </c>
      <c r="AM33" s="113">
        <f t="shared" si="10"/>
        <v>4784158600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/>
      <c r="L34" s="117"/>
      <c r="M34" s="169" t="s">
        <v>753</v>
      </c>
      <c r="N34" s="113">
        <v>500000</v>
      </c>
      <c r="O34" s="96"/>
      <c r="P34" s="96"/>
      <c r="Q34" s="170">
        <v>296363</v>
      </c>
      <c r="R34" s="169" t="s">
        <v>4703</v>
      </c>
      <c r="S34" s="201">
        <f>S33-7</f>
        <v>-8</v>
      </c>
      <c r="T34" s="169" t="s">
        <v>4708</v>
      </c>
      <c r="U34" s="169">
        <v>205</v>
      </c>
      <c r="V34" s="169">
        <f t="shared" si="6"/>
        <v>206.03791780821919</v>
      </c>
      <c r="W34" s="32">
        <f t="shared" si="7"/>
        <v>210.15867616438359</v>
      </c>
      <c r="X34" s="32">
        <f t="shared" si="8"/>
        <v>214.27943452054797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239</v>
      </c>
      <c r="AM34" s="113">
        <f t="shared" si="10"/>
        <v>242457374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1086</v>
      </c>
      <c r="L35" s="117">
        <f>61*P15</f>
        <v>219600000</v>
      </c>
      <c r="M35" s="169" t="s">
        <v>760</v>
      </c>
      <c r="N35" s="113">
        <v>1200000</v>
      </c>
      <c r="O35" t="s">
        <v>25</v>
      </c>
      <c r="P35" t="s">
        <v>25</v>
      </c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227</v>
      </c>
      <c r="AM35" s="113">
        <f t="shared" si="10"/>
        <v>81720000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4572</v>
      </c>
      <c r="L36" s="117">
        <v>-48500000</v>
      </c>
      <c r="M36" s="73"/>
      <c r="N36" s="113"/>
      <c r="O36" s="96"/>
      <c r="P36" s="96"/>
      <c r="Q36" s="170">
        <f>SUM(N21:N25)-SUM(Q20:Q35)</f>
        <v>-1843790.3999999948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225</v>
      </c>
      <c r="AM36" s="113">
        <f t="shared" si="10"/>
        <v>-78750000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4325</v>
      </c>
      <c r="L37" s="117">
        <v>-2000000</v>
      </c>
      <c r="M37" s="169" t="s">
        <v>1086</v>
      </c>
      <c r="N37" s="113">
        <f>60*P15</f>
        <v>216000000</v>
      </c>
      <c r="O37" s="96"/>
      <c r="P37" s="96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225</v>
      </c>
      <c r="AM37" s="113">
        <f t="shared" si="10"/>
        <v>225000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 t="s">
        <v>4517</v>
      </c>
      <c r="L38" s="117">
        <v>-1000000</v>
      </c>
      <c r="M38" s="169" t="s">
        <v>4574</v>
      </c>
      <c r="N38" s="113">
        <v>-18000000</v>
      </c>
      <c r="O38" s="96"/>
      <c r="P38" s="114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224</v>
      </c>
      <c r="AM38" s="113">
        <f t="shared" si="10"/>
        <v>7528640000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9"/>
      <c r="L39" s="117"/>
      <c r="M39" s="169" t="s">
        <v>4720</v>
      </c>
      <c r="N39" s="113">
        <v>-47500000</v>
      </c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220</v>
      </c>
      <c r="AM39" s="113">
        <f t="shared" si="10"/>
        <v>-3432000000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4420</v>
      </c>
      <c r="L40" s="117">
        <v>3000000</v>
      </c>
      <c r="M40" s="169"/>
      <c r="N40" s="113"/>
      <c r="O40" s="96"/>
      <c r="P40" s="96"/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217</v>
      </c>
      <c r="AM40" s="113">
        <f t="shared" si="10"/>
        <v>1627500000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4633</v>
      </c>
      <c r="L41" s="117">
        <v>2000000</v>
      </c>
      <c r="M41" s="169" t="s">
        <v>4466</v>
      </c>
      <c r="N41" s="113">
        <v>165296</v>
      </c>
      <c r="Q41" s="169">
        <v>0</v>
      </c>
      <c r="R41" s="169" t="s">
        <v>4173</v>
      </c>
      <c r="S41" s="169">
        <f>S58</f>
        <v>115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213</v>
      </c>
      <c r="AM41" s="113">
        <f t="shared" si="10"/>
        <v>-20874000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 t="s">
        <v>4705</v>
      </c>
      <c r="L42" s="117">
        <v>189000</v>
      </c>
      <c r="M42" s="169"/>
      <c r="N42" s="113"/>
      <c r="O42" s="99"/>
      <c r="P42" s="99"/>
      <c r="Q42" s="170">
        <v>863944</v>
      </c>
      <c r="R42" s="169" t="s">
        <v>4445</v>
      </c>
      <c r="S42" s="169">
        <f>S41-62</f>
        <v>53</v>
      </c>
      <c r="T42" s="193" t="s">
        <v>4522</v>
      </c>
      <c r="U42" s="169">
        <v>184.6</v>
      </c>
      <c r="V42" s="169">
        <f t="shared" ref="V42:V49" si="12">U42*(1+$N$91+$Q$15*S42/36500)</f>
        <v>194.17290082191784</v>
      </c>
      <c r="W42" s="32">
        <f t="shared" ref="W42:W49" si="13">V42*(1+$W$19/100)</f>
        <v>198.0563588383562</v>
      </c>
      <c r="X42" s="32">
        <f t="shared" ref="X42:X49" si="14">V42*(1+$X$19/100)</f>
        <v>201.93981685479454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212</v>
      </c>
      <c r="AM42" s="113">
        <f t="shared" si="10"/>
        <v>-5512000000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211" t="s">
        <v>4397</v>
      </c>
      <c r="N43" s="113">
        <f t="shared" ref="N43:N60" si="15">O43*P43</f>
        <v>14447613.299999999</v>
      </c>
      <c r="O43" s="99">
        <v>4439</v>
      </c>
      <c r="P43" s="99">
        <v>3254.7</v>
      </c>
      <c r="Q43" s="170">
        <v>1692313</v>
      </c>
      <c r="R43" s="169" t="s">
        <v>4525</v>
      </c>
      <c r="S43" s="201">
        <f>S42-21</f>
        <v>32</v>
      </c>
      <c r="T43" s="192" t="s">
        <v>4526</v>
      </c>
      <c r="U43" s="169">
        <v>168.5</v>
      </c>
      <c r="V43" s="169">
        <f t="shared" si="12"/>
        <v>174.52352876712331</v>
      </c>
      <c r="W43" s="32">
        <f t="shared" si="13"/>
        <v>178.01399934246578</v>
      </c>
      <c r="X43" s="32">
        <f t="shared" si="14"/>
        <v>181.50446991780825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212</v>
      </c>
      <c r="AM43" s="113">
        <f t="shared" si="10"/>
        <v>5300000000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/>
      <c r="L44" s="117"/>
      <c r="M44" s="19" t="s">
        <v>4180</v>
      </c>
      <c r="N44" s="113">
        <f t="shared" si="15"/>
        <v>216869153</v>
      </c>
      <c r="O44" s="99">
        <v>1262335</v>
      </c>
      <c r="P44" s="99">
        <v>171.8</v>
      </c>
      <c r="Q44" s="170">
        <v>101153</v>
      </c>
      <c r="R44" s="169" t="s">
        <v>4528</v>
      </c>
      <c r="S44" s="201">
        <f>S43-1</f>
        <v>31</v>
      </c>
      <c r="T44" s="192" t="s">
        <v>4530</v>
      </c>
      <c r="U44" s="169">
        <v>166.7</v>
      </c>
      <c r="V44" s="169">
        <f t="shared" si="12"/>
        <v>172.53130301369862</v>
      </c>
      <c r="W44" s="32">
        <f t="shared" si="13"/>
        <v>175.98192907397259</v>
      </c>
      <c r="X44" s="32">
        <f t="shared" si="14"/>
        <v>179.43255513424657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211</v>
      </c>
      <c r="AM44" s="113">
        <f t="shared" si="10"/>
        <v>23210000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4297</v>
      </c>
      <c r="N45" s="113">
        <f t="shared" si="15"/>
        <v>339327.9</v>
      </c>
      <c r="O45" s="69">
        <v>1153</v>
      </c>
      <c r="P45" s="69">
        <v>294.3</v>
      </c>
      <c r="Q45" s="170">
        <v>183105</v>
      </c>
      <c r="R45" s="169" t="s">
        <v>4232</v>
      </c>
      <c r="S45" s="201">
        <f>S44-1</f>
        <v>30</v>
      </c>
      <c r="T45" s="192" t="s">
        <v>4534</v>
      </c>
      <c r="U45" s="169">
        <v>166.6</v>
      </c>
      <c r="V45" s="169">
        <f t="shared" si="12"/>
        <v>172.30000219178083</v>
      </c>
      <c r="W45" s="32">
        <f t="shared" si="13"/>
        <v>175.74600223561646</v>
      </c>
      <c r="X45" s="32">
        <f t="shared" si="14"/>
        <v>179.19200227945208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210</v>
      </c>
      <c r="AM45" s="113">
        <f t="shared" si="10"/>
        <v>79800000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4401</v>
      </c>
      <c r="N46" s="113">
        <f t="shared" si="15"/>
        <v>101002683</v>
      </c>
      <c r="O46" s="69">
        <v>18815</v>
      </c>
      <c r="P46" s="69">
        <v>5368.2</v>
      </c>
      <c r="Q46" s="170">
        <v>66208</v>
      </c>
      <c r="R46" s="169" t="s">
        <v>4637</v>
      </c>
      <c r="S46" s="201">
        <f>S45-27</f>
        <v>3</v>
      </c>
      <c r="T46" s="192" t="s">
        <v>4641</v>
      </c>
      <c r="U46" s="169">
        <v>195</v>
      </c>
      <c r="V46" s="169">
        <f t="shared" si="12"/>
        <v>197.63276712328769</v>
      </c>
      <c r="W46" s="32">
        <f t="shared" si="13"/>
        <v>201.58542246575345</v>
      </c>
      <c r="X46" s="32">
        <f t="shared" si="14"/>
        <v>205.53807780821921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203</v>
      </c>
      <c r="AM46" s="113">
        <f t="shared" si="10"/>
        <v>91350000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5"/>
        <v>41030704</v>
      </c>
      <c r="O47" s="69">
        <v>79904</v>
      </c>
      <c r="P47" s="69">
        <v>513.5</v>
      </c>
      <c r="Q47" s="170">
        <v>168846</v>
      </c>
      <c r="R47" s="169" t="s">
        <v>3692</v>
      </c>
      <c r="S47" s="201">
        <f>S46-3</f>
        <v>0</v>
      </c>
      <c r="T47" s="192" t="s">
        <v>4653</v>
      </c>
      <c r="U47" s="169">
        <v>172.2</v>
      </c>
      <c r="V47" s="169">
        <f t="shared" si="12"/>
        <v>174.12864000000002</v>
      </c>
      <c r="W47" s="32">
        <f t="shared" si="13"/>
        <v>177.61121280000003</v>
      </c>
      <c r="X47" s="32">
        <f t="shared" si="14"/>
        <v>181.09378560000002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197</v>
      </c>
      <c r="AM47" s="113">
        <f t="shared" si="10"/>
        <v>551600000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4583</v>
      </c>
      <c r="N48" s="117">
        <f t="shared" si="15"/>
        <v>100844.29999999999</v>
      </c>
      <c r="O48" s="69">
        <v>197</v>
      </c>
      <c r="P48" s="69">
        <v>511.9</v>
      </c>
      <c r="Q48" s="170">
        <v>296363</v>
      </c>
      <c r="R48" s="169" t="s">
        <v>4703</v>
      </c>
      <c r="S48" s="201">
        <f>S47-7</f>
        <v>-7</v>
      </c>
      <c r="T48" s="192" t="s">
        <v>4708</v>
      </c>
      <c r="U48" s="169">
        <v>205</v>
      </c>
      <c r="V48" s="169">
        <f t="shared" si="12"/>
        <v>206.1951780821918</v>
      </c>
      <c r="W48" s="32">
        <f t="shared" si="13"/>
        <v>210.31908164383563</v>
      </c>
      <c r="X48" s="32">
        <f t="shared" si="14"/>
        <v>214.44298520547949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196</v>
      </c>
      <c r="AM48" s="113">
        <f t="shared" si="10"/>
        <v>-294000000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4639</v>
      </c>
      <c r="N49" s="117">
        <f t="shared" si="15"/>
        <v>96513.3</v>
      </c>
      <c r="O49" s="69">
        <v>339</v>
      </c>
      <c r="P49" s="69">
        <v>284.7</v>
      </c>
      <c r="Q49" s="170"/>
      <c r="R49" s="169"/>
      <c r="S49" s="113"/>
      <c r="T49" s="113"/>
      <c r="U49" s="169"/>
      <c r="V49" s="169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196</v>
      </c>
      <c r="AM49" s="113">
        <f t="shared" si="10"/>
        <v>597800000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4709</v>
      </c>
      <c r="N50" s="117">
        <f t="shared" si="15"/>
        <v>294995</v>
      </c>
      <c r="O50" s="69">
        <v>1439</v>
      </c>
      <c r="P50" s="69">
        <v>205</v>
      </c>
      <c r="Q50" s="113">
        <f>SUM(N28:N30)-SUM(Q41:Q49)</f>
        <v>-2555.3999999999069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193</v>
      </c>
      <c r="AM50" s="113">
        <f t="shared" si="10"/>
        <v>-1601825116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4608</v>
      </c>
      <c r="N51" s="117">
        <f t="shared" si="15"/>
        <v>547225</v>
      </c>
      <c r="O51" s="69">
        <v>1475</v>
      </c>
      <c r="P51" s="69">
        <v>371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191</v>
      </c>
      <c r="AM51" s="113">
        <f t="shared" si="10"/>
        <v>955000000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4590</v>
      </c>
      <c r="N52" s="117">
        <f t="shared" si="15"/>
        <v>1196800</v>
      </c>
      <c r="O52" s="69">
        <v>1000</v>
      </c>
      <c r="P52" s="69">
        <v>1196.8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177</v>
      </c>
      <c r="AM52" s="113">
        <f t="shared" si="10"/>
        <v>-15930000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4660</v>
      </c>
      <c r="N53" s="117">
        <f t="shared" si="15"/>
        <v>1989847.4</v>
      </c>
      <c r="O53" s="69">
        <v>2306</v>
      </c>
      <c r="P53" s="69">
        <v>862.9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176</v>
      </c>
      <c r="AM53" s="113">
        <f t="shared" si="10"/>
        <v>985600000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4645</v>
      </c>
      <c r="N54" s="117">
        <f t="shared" si="15"/>
        <v>3546140.4000000004</v>
      </c>
      <c r="O54" s="69">
        <v>4917</v>
      </c>
      <c r="P54" s="69">
        <v>721.2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172</v>
      </c>
      <c r="AM54" s="113">
        <f t="shared" si="10"/>
        <v>129000000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4669</v>
      </c>
      <c r="N55" s="117">
        <f t="shared" si="15"/>
        <v>945861</v>
      </c>
      <c r="O55" s="69">
        <v>2190</v>
      </c>
      <c r="P55" s="69">
        <v>431.9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170</v>
      </c>
      <c r="AM55" s="171">
        <f t="shared" si="10"/>
        <v>-721140000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4670</v>
      </c>
      <c r="N56" s="117">
        <f t="shared" si="15"/>
        <v>1050750</v>
      </c>
      <c r="O56" s="69">
        <v>2500</v>
      </c>
      <c r="P56" s="69">
        <v>420.3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168</v>
      </c>
      <c r="AM56" s="113">
        <f t="shared" si="10"/>
        <v>688800000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4655</v>
      </c>
      <c r="N57" s="117">
        <f t="shared" si="15"/>
        <v>973600</v>
      </c>
      <c r="O57" s="69">
        <v>8000</v>
      </c>
      <c r="P57" s="69">
        <v>121.7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168</v>
      </c>
      <c r="AM57" s="113">
        <f t="shared" si="10"/>
        <v>688800000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4671</v>
      </c>
      <c r="N58" s="117">
        <f t="shared" si="15"/>
        <v>984911.20000000007</v>
      </c>
      <c r="O58" s="69">
        <v>4648</v>
      </c>
      <c r="P58" s="69">
        <v>211.9</v>
      </c>
      <c r="Q58" s="170">
        <v>184971545</v>
      </c>
      <c r="R58" s="169" t="s">
        <v>4173</v>
      </c>
      <c r="S58" s="194">
        <v>115</v>
      </c>
      <c r="T58" s="169" t="s">
        <v>4352</v>
      </c>
      <c r="U58" s="169">
        <v>192</v>
      </c>
      <c r="V58" s="99">
        <f t="shared" ref="V58:V100" si="16">U58*(1+$N$91+$Q$15*S58/36500)</f>
        <v>211.08848219178083</v>
      </c>
      <c r="W58" s="32">
        <f t="shared" ref="W58:W85" si="17">V58*(1+$W$19/100)</f>
        <v>215.31025183561644</v>
      </c>
      <c r="X58" s="32">
        <f t="shared" ref="X58:X85" si="18">V58*(1+$X$19/100)</f>
        <v>219.53202147945206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167</v>
      </c>
      <c r="AM58" s="113">
        <f t="shared" si="10"/>
        <v>131930000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 t="s">
        <v>25</v>
      </c>
      <c r="L59" s="117"/>
      <c r="M59" s="21" t="s">
        <v>4551</v>
      </c>
      <c r="N59" s="117">
        <f t="shared" si="15"/>
        <v>14095322</v>
      </c>
      <c r="O59" s="69">
        <v>3065</v>
      </c>
      <c r="P59" s="69">
        <v>4598.8</v>
      </c>
      <c r="Q59" s="170">
        <v>9560464</v>
      </c>
      <c r="R59" s="169" t="s">
        <v>4300</v>
      </c>
      <c r="S59" s="194">
        <f>S58-31</f>
        <v>84</v>
      </c>
      <c r="T59" s="169" t="s">
        <v>4316</v>
      </c>
      <c r="U59" s="169">
        <v>214.57</v>
      </c>
      <c r="V59" s="99">
        <f t="shared" si="16"/>
        <v>230.79972208219178</v>
      </c>
      <c r="W59" s="32">
        <f t="shared" si="17"/>
        <v>235.41571652383561</v>
      </c>
      <c r="X59" s="32">
        <f t="shared" si="18"/>
        <v>240.03171096547945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152</v>
      </c>
      <c r="AM59" s="173">
        <f t="shared" si="10"/>
        <v>-587480000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21" t="s">
        <v>1086</v>
      </c>
      <c r="N60" s="117">
        <f t="shared" si="15"/>
        <v>12900000</v>
      </c>
      <c r="O60" s="69">
        <v>30</v>
      </c>
      <c r="P60" s="69">
        <v>430000</v>
      </c>
      <c r="Q60" s="170">
        <v>2000000</v>
      </c>
      <c r="R60" s="169" t="s">
        <v>4347</v>
      </c>
      <c r="S60" s="169">
        <f>S59-11</f>
        <v>73</v>
      </c>
      <c r="T60" s="169" t="s">
        <v>4351</v>
      </c>
      <c r="U60" s="169">
        <v>206.8</v>
      </c>
      <c r="V60" s="99">
        <f t="shared" si="16"/>
        <v>220.69696000000005</v>
      </c>
      <c r="W60" s="32">
        <f t="shared" si="17"/>
        <v>225.11089920000006</v>
      </c>
      <c r="X60" s="32">
        <f t="shared" si="18"/>
        <v>229.52483840000005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146</v>
      </c>
      <c r="AM60" s="113">
        <f t="shared" si="10"/>
        <v>2744800000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73"/>
      <c r="N61" s="117"/>
      <c r="O61" s="122"/>
      <c r="P61" s="122"/>
      <c r="Q61" s="170">
        <v>1429825</v>
      </c>
      <c r="R61" s="169" t="s">
        <v>4378</v>
      </c>
      <c r="S61" s="169">
        <f>S60-7</f>
        <v>66</v>
      </c>
      <c r="T61" s="169" t="s">
        <v>4387</v>
      </c>
      <c r="U61" s="169">
        <v>203.9</v>
      </c>
      <c r="V61" s="99">
        <f t="shared" si="16"/>
        <v>216.50716493150688</v>
      </c>
      <c r="W61" s="32">
        <f t="shared" si="17"/>
        <v>220.83730823013701</v>
      </c>
      <c r="X61" s="32">
        <f t="shared" si="18"/>
        <v>225.16745152876717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143</v>
      </c>
      <c r="AM61" s="113">
        <f t="shared" si="10"/>
        <v>71500000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169" t="s">
        <v>1153</v>
      </c>
      <c r="N62" s="117">
        <v>14908</v>
      </c>
      <c r="O62" s="96" t="s">
        <v>25</v>
      </c>
      <c r="P62" t="s">
        <v>25</v>
      </c>
      <c r="Q62" s="170">
        <v>1420747</v>
      </c>
      <c r="R62" s="169" t="s">
        <v>4378</v>
      </c>
      <c r="S62" s="169">
        <f>S61</f>
        <v>66</v>
      </c>
      <c r="T62" s="169" t="s">
        <v>4389</v>
      </c>
      <c r="U62" s="169">
        <v>203.1</v>
      </c>
      <c r="V62" s="99">
        <f t="shared" si="16"/>
        <v>215.65770082191781</v>
      </c>
      <c r="W62" s="32">
        <f t="shared" si="17"/>
        <v>219.97085483835616</v>
      </c>
      <c r="X62" s="32">
        <f t="shared" si="18"/>
        <v>224.28400885479454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142</v>
      </c>
      <c r="AM62" s="113">
        <f t="shared" si="10"/>
        <v>28400000</v>
      </c>
      <c r="AN62" s="20"/>
    </row>
    <row r="63" spans="1:40">
      <c r="E63" s="26"/>
      <c r="K63" s="99"/>
      <c r="L63" s="99"/>
      <c r="M63" s="169" t="s">
        <v>1154</v>
      </c>
      <c r="N63" s="117">
        <v>5282</v>
      </c>
      <c r="O63" s="96"/>
      <c r="P63" t="s">
        <v>25</v>
      </c>
      <c r="Q63" s="170">
        <v>2412371</v>
      </c>
      <c r="R63" s="169" t="s">
        <v>4380</v>
      </c>
      <c r="S63" s="169">
        <f>S62-1</f>
        <v>65</v>
      </c>
      <c r="T63" s="169" t="s">
        <v>4396</v>
      </c>
      <c r="U63" s="169">
        <v>3930</v>
      </c>
      <c r="V63" s="99">
        <f t="shared" si="16"/>
        <v>4169.9776438356175</v>
      </c>
      <c r="W63" s="32">
        <f t="shared" si="17"/>
        <v>4253.3771967123303</v>
      </c>
      <c r="X63" s="32">
        <f t="shared" si="18"/>
        <v>4336.7767495890421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139</v>
      </c>
      <c r="AM63" s="113">
        <f t="shared" si="10"/>
        <v>139000000</v>
      </c>
      <c r="AN63" s="20"/>
    </row>
    <row r="64" spans="1:40">
      <c r="E64" s="26"/>
      <c r="K64" s="169"/>
      <c r="L64" s="117"/>
      <c r="M64" s="169"/>
      <c r="N64" s="113"/>
      <c r="O64" s="115"/>
      <c r="P64" s="115"/>
      <c r="Q64" s="170">
        <v>2010885</v>
      </c>
      <c r="R64" s="169" t="s">
        <v>4399</v>
      </c>
      <c r="S64" s="169">
        <f>S63-2</f>
        <v>63</v>
      </c>
      <c r="T64" s="169" t="s">
        <v>4405</v>
      </c>
      <c r="U64" s="169">
        <v>202.1</v>
      </c>
      <c r="V64" s="99">
        <f t="shared" si="16"/>
        <v>214.13076383561645</v>
      </c>
      <c r="W64" s="32">
        <f t="shared" si="17"/>
        <v>218.41337911232878</v>
      </c>
      <c r="X64" s="32">
        <f t="shared" si="18"/>
        <v>222.69599438904112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136</v>
      </c>
      <c r="AM64" s="113">
        <f t="shared" si="10"/>
        <v>176800000</v>
      </c>
      <c r="AN64" s="20"/>
    </row>
    <row r="65" spans="1:40">
      <c r="K65" s="169" t="s">
        <v>25</v>
      </c>
      <c r="L65" s="117"/>
      <c r="M65" s="169" t="s">
        <v>4181</v>
      </c>
      <c r="N65" s="113">
        <f>-O65*P65</f>
        <v>-14220401.4</v>
      </c>
      <c r="O65" s="99">
        <v>82773</v>
      </c>
      <c r="P65" s="99">
        <f>P44</f>
        <v>171.8</v>
      </c>
      <c r="Q65" s="170">
        <v>1994038</v>
      </c>
      <c r="R65" s="169" t="s">
        <v>4410</v>
      </c>
      <c r="S65" s="169">
        <f>S64-3</f>
        <v>60</v>
      </c>
      <c r="T65" s="169" t="s">
        <v>4427</v>
      </c>
      <c r="U65" s="169">
        <v>5560.3</v>
      </c>
      <c r="V65" s="99">
        <f t="shared" si="16"/>
        <v>5878.5014969863023</v>
      </c>
      <c r="W65" s="32">
        <f t="shared" si="17"/>
        <v>5996.0715269260281</v>
      </c>
      <c r="X65" s="32">
        <f t="shared" si="18"/>
        <v>6113.6415568657549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136</v>
      </c>
      <c r="AM65" s="113">
        <f t="shared" si="10"/>
        <v>135320000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60</v>
      </c>
      <c r="T66" s="169" t="s">
        <v>4642</v>
      </c>
      <c r="U66" s="169">
        <v>441.8</v>
      </c>
      <c r="V66" s="99">
        <f t="shared" si="16"/>
        <v>467.08306410958915</v>
      </c>
      <c r="W66" s="32">
        <f t="shared" si="17"/>
        <v>476.42472539178095</v>
      </c>
      <c r="X66" s="32">
        <f t="shared" si="18"/>
        <v>485.7663866739727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134</v>
      </c>
      <c r="AM66" s="113">
        <f t="shared" si="10"/>
        <v>1742000000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1971103</v>
      </c>
      <c r="R67" s="169" t="s">
        <v>4422</v>
      </c>
      <c r="S67" s="169">
        <f>S66-1</f>
        <v>59</v>
      </c>
      <c r="T67" s="169" t="s">
        <v>4423</v>
      </c>
      <c r="U67" s="169">
        <v>196.2</v>
      </c>
      <c r="V67" s="99">
        <f t="shared" si="16"/>
        <v>207.27750575342466</v>
      </c>
      <c r="W67" s="32">
        <f t="shared" si="17"/>
        <v>211.42305586849315</v>
      </c>
      <c r="X67" s="32">
        <f t="shared" si="18"/>
        <v>215.56860598356167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132</v>
      </c>
      <c r="AM67" s="113">
        <f t="shared" si="10"/>
        <v>-409200000</v>
      </c>
      <c r="AN67" s="20"/>
    </row>
    <row r="68" spans="1:40">
      <c r="F68" t="s">
        <v>4104</v>
      </c>
      <c r="G68" t="s">
        <v>4099</v>
      </c>
      <c r="K68" s="169"/>
      <c r="L68" s="117"/>
      <c r="M68" s="169" t="s">
        <v>4453</v>
      </c>
      <c r="N68" s="113">
        <f>-S113</f>
        <v>-11181803.835719433</v>
      </c>
      <c r="Q68" s="170">
        <v>1049856</v>
      </c>
      <c r="R68" s="169" t="s">
        <v>4445</v>
      </c>
      <c r="S68" s="202">
        <f>S67-6</f>
        <v>53</v>
      </c>
      <c r="T68" s="169" t="s">
        <v>4484</v>
      </c>
      <c r="U68" s="169">
        <v>184.5</v>
      </c>
      <c r="V68" s="99">
        <f t="shared" si="16"/>
        <v>194.06771506849319</v>
      </c>
      <c r="W68" s="32">
        <f t="shared" si="17"/>
        <v>197.94906936986305</v>
      </c>
      <c r="X68" s="32">
        <f t="shared" si="18"/>
        <v>201.83042367123292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129</v>
      </c>
      <c r="AM68" s="113">
        <f t="shared" si="10"/>
        <v>5887560000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P69" t="s">
        <v>25</v>
      </c>
      <c r="Q69" s="170">
        <v>1783234</v>
      </c>
      <c r="R69" s="169" t="s">
        <v>4447</v>
      </c>
      <c r="S69" s="169">
        <f>S68-2</f>
        <v>51</v>
      </c>
      <c r="T69" s="169" t="s">
        <v>4448</v>
      </c>
      <c r="U69" s="169">
        <v>177.5</v>
      </c>
      <c r="V69" s="99">
        <f t="shared" si="16"/>
        <v>186.43238356164386</v>
      </c>
      <c r="W69" s="32">
        <f t="shared" si="17"/>
        <v>190.16103123287675</v>
      </c>
      <c r="X69" s="32">
        <f t="shared" si="18"/>
        <v>193.88967890410962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128</v>
      </c>
      <c r="AM69" s="113">
        <f t="shared" si="10"/>
        <v>4288000000</v>
      </c>
      <c r="AN69" s="20"/>
    </row>
    <row r="70" spans="1:40">
      <c r="G70" t="s">
        <v>4102</v>
      </c>
      <c r="K70" s="169"/>
      <c r="L70" s="117"/>
      <c r="M70" s="169"/>
      <c r="N70" s="113"/>
      <c r="Q70" s="170">
        <v>1662335</v>
      </c>
      <c r="R70" s="169" t="s">
        <v>4451</v>
      </c>
      <c r="S70" s="201">
        <f>S69-5</f>
        <v>46</v>
      </c>
      <c r="T70" s="73" t="s">
        <v>4620</v>
      </c>
      <c r="U70" s="169">
        <v>190.3</v>
      </c>
      <c r="V70" s="99">
        <f t="shared" si="16"/>
        <v>199.14660383561647</v>
      </c>
      <c r="W70" s="32">
        <f t="shared" si="17"/>
        <v>203.12953591232881</v>
      </c>
      <c r="X70" s="32">
        <f t="shared" si="18"/>
        <v>207.11246798904114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127</v>
      </c>
      <c r="AM70" s="117">
        <f t="shared" si="10"/>
        <v>1524000000</v>
      </c>
      <c r="AN70" s="20"/>
    </row>
    <row r="71" spans="1:40">
      <c r="G71" t="s">
        <v>4103</v>
      </c>
      <c r="K71" s="169" t="s">
        <v>598</v>
      </c>
      <c r="L71" s="113">
        <f>SUM(L16:L46)</f>
        <v>343080698.59514803</v>
      </c>
      <c r="M71" s="169"/>
      <c r="N71" s="113">
        <f>SUM(N16:N67)</f>
        <v>415594219.004852</v>
      </c>
      <c r="Q71" s="170">
        <v>159753</v>
      </c>
      <c r="R71" s="169" t="s">
        <v>4580</v>
      </c>
      <c r="S71" s="169">
        <f>S70-25</f>
        <v>21</v>
      </c>
      <c r="T71" s="73" t="s">
        <v>4597</v>
      </c>
      <c r="U71" s="169">
        <v>286</v>
      </c>
      <c r="V71" s="99">
        <f t="shared" si="16"/>
        <v>293.81054246575343</v>
      </c>
      <c r="W71" s="32">
        <f t="shared" si="17"/>
        <v>299.68675331506853</v>
      </c>
      <c r="X71" s="32">
        <f t="shared" si="18"/>
        <v>305.56296416438357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126</v>
      </c>
      <c r="AM71" s="117">
        <f t="shared" si="10"/>
        <v>1953000000</v>
      </c>
      <c r="AN71" s="20"/>
    </row>
    <row r="72" spans="1:40">
      <c r="G72" t="s">
        <v>4107</v>
      </c>
      <c r="K72" s="169" t="s">
        <v>599</v>
      </c>
      <c r="L72" s="113">
        <f>L16+L17+L25</f>
        <v>679640</v>
      </c>
      <c r="M72" s="169"/>
      <c r="N72" s="113">
        <f>N16+N17+N34</f>
        <v>876633</v>
      </c>
      <c r="Q72" s="170">
        <v>172133</v>
      </c>
      <c r="R72" s="169" t="s">
        <v>4582</v>
      </c>
      <c r="S72" s="169">
        <f>S71-3</f>
        <v>18</v>
      </c>
      <c r="T72" s="73" t="s">
        <v>4598</v>
      </c>
      <c r="U72" s="169">
        <v>287</v>
      </c>
      <c r="V72" s="99">
        <f t="shared" si="16"/>
        <v>294.17735890410961</v>
      </c>
      <c r="W72" s="32">
        <f t="shared" si="17"/>
        <v>300.06090608219182</v>
      </c>
      <c r="X72" s="32">
        <f t="shared" si="18"/>
        <v>305.94445326027403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122</v>
      </c>
      <c r="AM72" s="117">
        <f t="shared" si="10"/>
        <v>18300000</v>
      </c>
      <c r="AN72" s="20"/>
    </row>
    <row r="73" spans="1:40">
      <c r="G73" t="s">
        <v>4106</v>
      </c>
      <c r="K73" s="56" t="s">
        <v>716</v>
      </c>
      <c r="L73" s="1">
        <f>L71+N7</f>
        <v>413080698.59514803</v>
      </c>
      <c r="M73" s="113"/>
      <c r="N73" s="169"/>
      <c r="O73" s="115"/>
      <c r="P73" s="115"/>
      <c r="Q73" s="170">
        <v>100530</v>
      </c>
      <c r="R73" s="169" t="s">
        <v>4582</v>
      </c>
      <c r="S73" s="169">
        <f>S72</f>
        <v>18</v>
      </c>
      <c r="T73" s="73" t="s">
        <v>4599</v>
      </c>
      <c r="U73" s="169">
        <v>508</v>
      </c>
      <c r="V73" s="99">
        <f t="shared" si="16"/>
        <v>520.70417534246576</v>
      </c>
      <c r="W73" s="32">
        <f t="shared" si="17"/>
        <v>531.11825884931511</v>
      </c>
      <c r="X73" s="32">
        <f t="shared" si="18"/>
        <v>541.53234235616446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9"/>
        <v>121</v>
      </c>
      <c r="AM73" s="182">
        <f t="shared" si="10"/>
        <v>3509000000</v>
      </c>
      <c r="AN73" s="181" t="s">
        <v>4187</v>
      </c>
    </row>
    <row r="74" spans="1:40">
      <c r="O74" s="96"/>
      <c r="P74" s="96"/>
      <c r="Q74" s="170">
        <v>499973</v>
      </c>
      <c r="R74" s="169" t="s">
        <v>4609</v>
      </c>
      <c r="S74" s="169">
        <f>S73-9</f>
        <v>9</v>
      </c>
      <c r="T74" s="73" t="s">
        <v>4610</v>
      </c>
      <c r="U74" s="169">
        <v>413</v>
      </c>
      <c r="V74" s="99">
        <f t="shared" si="16"/>
        <v>420.47699726027406</v>
      </c>
      <c r="W74" s="32">
        <f t="shared" si="17"/>
        <v>428.88653720547956</v>
      </c>
      <c r="X74" s="32">
        <f t="shared" si="18"/>
        <v>437.29607715068505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106</v>
      </c>
      <c r="AM74" s="117">
        <f t="shared" si="10"/>
        <v>-13780000</v>
      </c>
      <c r="AN74" s="20" t="s">
        <v>4213</v>
      </c>
    </row>
    <row r="75" spans="1:40">
      <c r="M75" s="25"/>
      <c r="O75" t="s">
        <v>25</v>
      </c>
      <c r="Q75" s="170">
        <v>11869317</v>
      </c>
      <c r="R75" s="169" t="s">
        <v>4621</v>
      </c>
      <c r="S75" s="169">
        <f>S74-2</f>
        <v>7</v>
      </c>
      <c r="T75" s="169" t="s">
        <v>4622</v>
      </c>
      <c r="U75" s="169">
        <v>395600</v>
      </c>
      <c r="V75" s="99">
        <f t="shared" si="16"/>
        <v>402155.03780821926</v>
      </c>
      <c r="W75" s="32">
        <f t="shared" si="17"/>
        <v>410198.13856438367</v>
      </c>
      <c r="X75" s="32">
        <f t="shared" si="18"/>
        <v>418241.23932054802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99</v>
      </c>
      <c r="AM75" s="117">
        <f>AJ75*AL75</f>
        <v>22968000</v>
      </c>
      <c r="AN75" s="20" t="s">
        <v>4261</v>
      </c>
    </row>
    <row r="76" spans="1:40">
      <c r="D76" s="3"/>
      <c r="E76" s="11" t="s">
        <v>304</v>
      </c>
      <c r="M76" s="25" t="s">
        <v>4081</v>
      </c>
      <c r="O76" s="115"/>
      <c r="P76" s="115"/>
      <c r="Q76" s="170">
        <v>2272487</v>
      </c>
      <c r="R76" s="169" t="s">
        <v>4631</v>
      </c>
      <c r="S76" s="169">
        <f>S75-3</f>
        <v>4</v>
      </c>
      <c r="T76" s="169" t="s">
        <v>4632</v>
      </c>
      <c r="U76" s="169">
        <v>174.9</v>
      </c>
      <c r="V76" s="99">
        <f t="shared" si="16"/>
        <v>177.39555945205484</v>
      </c>
      <c r="W76" s="32">
        <f t="shared" si="17"/>
        <v>180.94347064109593</v>
      </c>
      <c r="X76" s="32">
        <f t="shared" si="18"/>
        <v>184.49138183013704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97</v>
      </c>
      <c r="AM76" s="117">
        <f t="shared" si="10"/>
        <v>-16490000</v>
      </c>
      <c r="AN76" s="20"/>
    </row>
    <row r="77" spans="1:40">
      <c r="D77" s="1" t="s">
        <v>305</v>
      </c>
      <c r="E77" s="1">
        <v>70000</v>
      </c>
      <c r="M77" s="178"/>
      <c r="O77" s="115"/>
      <c r="P77" s="115"/>
      <c r="Q77" s="170">
        <v>66404</v>
      </c>
      <c r="R77" s="169" t="s">
        <v>4637</v>
      </c>
      <c r="S77" s="169">
        <f>S76-1</f>
        <v>3</v>
      </c>
      <c r="T77" s="169" t="s">
        <v>4638</v>
      </c>
      <c r="U77" s="169">
        <v>195</v>
      </c>
      <c r="V77" s="99">
        <f t="shared" si="16"/>
        <v>197.63276712328769</v>
      </c>
      <c r="W77" s="32">
        <f t="shared" si="17"/>
        <v>201.58542246575345</v>
      </c>
      <c r="X77" s="32">
        <f t="shared" si="18"/>
        <v>205.53807780821921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94</v>
      </c>
      <c r="AM77" s="117">
        <f t="shared" si="10"/>
        <v>-28200000</v>
      </c>
      <c r="AN77" s="20"/>
    </row>
    <row r="78" spans="1:40">
      <c r="D78" s="1" t="s">
        <v>321</v>
      </c>
      <c r="E78" s="1">
        <v>100000</v>
      </c>
      <c r="M78" s="96" t="s">
        <v>4697</v>
      </c>
      <c r="Q78" s="170">
        <v>3975257</v>
      </c>
      <c r="R78" s="169" t="s">
        <v>4637</v>
      </c>
      <c r="S78" s="169">
        <f>S77</f>
        <v>3</v>
      </c>
      <c r="T78" s="169" t="s">
        <v>4640</v>
      </c>
      <c r="U78" s="169">
        <v>173</v>
      </c>
      <c r="V78" s="99">
        <f t="shared" si="16"/>
        <v>175.33573698630138</v>
      </c>
      <c r="W78" s="32">
        <f t="shared" si="17"/>
        <v>178.84245172602741</v>
      </c>
      <c r="X78" s="32">
        <f t="shared" si="18"/>
        <v>182.34916646575346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91</v>
      </c>
      <c r="AM78" s="117">
        <f t="shared" si="10"/>
        <v>-1037400000</v>
      </c>
      <c r="AN78" s="20"/>
    </row>
    <row r="79" spans="1:40">
      <c r="D79" s="1" t="s">
        <v>306</v>
      </c>
      <c r="E79" s="1">
        <v>80000</v>
      </c>
      <c r="M79" s="122" t="s">
        <v>4417</v>
      </c>
      <c r="O79" s="114"/>
      <c r="Q79" s="170">
        <v>1031662</v>
      </c>
      <c r="R79" s="169" t="s">
        <v>4235</v>
      </c>
      <c r="S79" s="169">
        <f>S78-1</f>
        <v>2</v>
      </c>
      <c r="T79" s="169" t="s">
        <v>4644</v>
      </c>
      <c r="U79" s="169">
        <v>171.2</v>
      </c>
      <c r="V79" s="99">
        <f t="shared" si="16"/>
        <v>173.38010301369863</v>
      </c>
      <c r="W79" s="32">
        <f t="shared" si="17"/>
        <v>176.84770507397261</v>
      </c>
      <c r="X79" s="32">
        <f t="shared" si="18"/>
        <v>180.31530713424658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78</v>
      </c>
      <c r="AM79" s="117">
        <f>AJ79*AL79</f>
        <v>-780000000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4519</v>
      </c>
      <c r="N80" s="96"/>
      <c r="Q80" s="170">
        <v>2666019</v>
      </c>
      <c r="R80" s="169" t="s">
        <v>4235</v>
      </c>
      <c r="S80" s="169">
        <f>S79</f>
        <v>2</v>
      </c>
      <c r="T80" s="169" t="s">
        <v>4646</v>
      </c>
      <c r="U80" s="169">
        <v>749</v>
      </c>
      <c r="V80" s="99">
        <f t="shared" si="16"/>
        <v>758.53795068493162</v>
      </c>
      <c r="W80" s="32">
        <f t="shared" si="17"/>
        <v>773.70870969863029</v>
      </c>
      <c r="X80" s="32">
        <f t="shared" si="18"/>
        <v>788.87946871232896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77</v>
      </c>
      <c r="AM80" s="117">
        <f>AJ80*AL80</f>
        <v>-188650000</v>
      </c>
      <c r="AN80" s="20"/>
    </row>
    <row r="81" spans="4:52">
      <c r="D81" s="31" t="s">
        <v>308</v>
      </c>
      <c r="E81" s="1">
        <v>300000</v>
      </c>
      <c r="M81" s="122" t="s">
        <v>4601</v>
      </c>
      <c r="N81" s="96"/>
      <c r="P81" t="s">
        <v>25</v>
      </c>
      <c r="Q81" s="170">
        <v>577500</v>
      </c>
      <c r="R81" s="169" t="s">
        <v>4235</v>
      </c>
      <c r="S81" s="169">
        <f>S80</f>
        <v>2</v>
      </c>
      <c r="T81" s="169" t="s">
        <v>4649</v>
      </c>
      <c r="U81" s="169">
        <v>175</v>
      </c>
      <c r="V81" s="99">
        <f t="shared" si="16"/>
        <v>177.22849315068495</v>
      </c>
      <c r="W81" s="32">
        <f t="shared" si="17"/>
        <v>180.77306301369865</v>
      </c>
      <c r="X81" s="32">
        <f t="shared" si="18"/>
        <v>184.31763287671237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72</v>
      </c>
      <c r="AM81" s="117">
        <f t="shared" si="10"/>
        <v>-32837832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4711</v>
      </c>
      <c r="K82" s="22" t="s">
        <v>4710</v>
      </c>
      <c r="L82" s="22" t="s">
        <v>4691</v>
      </c>
      <c r="M82" s="213" t="s">
        <v>4682</v>
      </c>
      <c r="N82" s="96"/>
      <c r="P82" s="115"/>
      <c r="Q82" s="170">
        <v>12636487</v>
      </c>
      <c r="R82" s="169" t="s">
        <v>3692</v>
      </c>
      <c r="S82" s="169">
        <f>S81-2</f>
        <v>0</v>
      </c>
      <c r="T82" s="169" t="s">
        <v>4652</v>
      </c>
      <c r="U82" s="169">
        <v>172.1</v>
      </c>
      <c r="V82" s="99">
        <f t="shared" si="16"/>
        <v>174.02752000000001</v>
      </c>
      <c r="W82" s="32">
        <f t="shared" si="17"/>
        <v>177.50807040000001</v>
      </c>
      <c r="X82" s="32">
        <f t="shared" si="18"/>
        <v>180.98862080000001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71</v>
      </c>
      <c r="AM82" s="117">
        <f t="shared" si="10"/>
        <v>-35500000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4518</v>
      </c>
      <c r="N83" s="96"/>
      <c r="P83" s="115" t="s">
        <v>25</v>
      </c>
      <c r="Q83" s="170">
        <v>1210169</v>
      </c>
      <c r="R83" s="169" t="s">
        <v>4658</v>
      </c>
      <c r="S83" s="169">
        <f>S82-3</f>
        <v>-3</v>
      </c>
      <c r="T83" s="169" t="s">
        <v>4659</v>
      </c>
      <c r="U83" s="169">
        <v>1204.7</v>
      </c>
      <c r="V83" s="99">
        <f t="shared" si="16"/>
        <v>1215.4201797260275</v>
      </c>
      <c r="W83" s="32">
        <f t="shared" si="17"/>
        <v>1239.7285833205481</v>
      </c>
      <c r="X83" s="32">
        <f t="shared" si="18"/>
        <v>1264.0369869150686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69</v>
      </c>
      <c r="AM83" s="117">
        <f t="shared" si="10"/>
        <v>-430171530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122" t="s">
        <v>4603</v>
      </c>
      <c r="O84" t="s">
        <v>25</v>
      </c>
      <c r="P84" s="115"/>
      <c r="Q84" s="170">
        <v>1997458</v>
      </c>
      <c r="R84" s="169" t="s">
        <v>4658</v>
      </c>
      <c r="S84" s="169">
        <f>S83</f>
        <v>-3</v>
      </c>
      <c r="T84" s="169" t="s">
        <v>4661</v>
      </c>
      <c r="U84" s="169">
        <v>862.2</v>
      </c>
      <c r="V84" s="99">
        <f t="shared" si="16"/>
        <v>869.87239890410979</v>
      </c>
      <c r="W84" s="32">
        <f t="shared" si="17"/>
        <v>887.26984688219204</v>
      </c>
      <c r="X84" s="32">
        <f t="shared" si="18"/>
        <v>904.66729486027418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66</v>
      </c>
      <c r="AM84" s="117">
        <f t="shared" si="10"/>
        <v>128763162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s="96">
        <f>O44+O21+O30-O65</f>
        <v>1270104</v>
      </c>
      <c r="N85" s="113">
        <f>M85*P44</f>
        <v>218203867.20000002</v>
      </c>
      <c r="P85" s="115"/>
      <c r="Q85" s="170">
        <v>12131182</v>
      </c>
      <c r="R85" s="169" t="s">
        <v>4658</v>
      </c>
      <c r="S85" s="169">
        <f>S84</f>
        <v>-3</v>
      </c>
      <c r="T85" s="169" t="s">
        <v>4662</v>
      </c>
      <c r="U85" s="169">
        <v>171.8</v>
      </c>
      <c r="V85" s="99">
        <f t="shared" si="16"/>
        <v>173.32878465753427</v>
      </c>
      <c r="W85" s="32">
        <f t="shared" si="17"/>
        <v>176.79536035068497</v>
      </c>
      <c r="X85" s="32">
        <f t="shared" si="18"/>
        <v>180.26193604383565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62</v>
      </c>
      <c r="AM85" s="117">
        <f t="shared" si="10"/>
        <v>37200000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4268</v>
      </c>
      <c r="P86" s="115"/>
      <c r="Q86" s="170">
        <v>8978273</v>
      </c>
      <c r="R86" s="169" t="s">
        <v>4666</v>
      </c>
      <c r="S86" s="169">
        <f>S85-1</f>
        <v>-4</v>
      </c>
      <c r="T86" s="169" t="s">
        <v>4667</v>
      </c>
      <c r="U86" s="169">
        <v>3405.9</v>
      </c>
      <c r="V86" s="99">
        <f t="shared" si="16"/>
        <v>3433.5950991780824</v>
      </c>
      <c r="W86" s="32">
        <f t="shared" ref="W86:W100" si="20">V86*(1+$W$19/100)</f>
        <v>3502.2670011616442</v>
      </c>
      <c r="X86" s="32">
        <f t="shared" ref="X86:X100" si="21">V86*(1+$X$19/100)</f>
        <v>3570.9389031452056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57</v>
      </c>
      <c r="AM86" s="117">
        <f t="shared" si="10"/>
        <v>427500000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M87" t="s">
        <v>4607</v>
      </c>
      <c r="N87" t="s">
        <v>25</v>
      </c>
      <c r="P87" s="115"/>
      <c r="Q87" s="170">
        <v>1001073</v>
      </c>
      <c r="R87" s="169" t="s">
        <v>4666</v>
      </c>
      <c r="S87" s="169">
        <f>S86</f>
        <v>-4</v>
      </c>
      <c r="T87" s="169" t="s">
        <v>4668</v>
      </c>
      <c r="U87" s="169">
        <v>455</v>
      </c>
      <c r="V87" s="99">
        <f t="shared" si="16"/>
        <v>458.69983561643835</v>
      </c>
      <c r="W87" s="32">
        <f t="shared" si="20"/>
        <v>467.87383232876715</v>
      </c>
      <c r="X87" s="32">
        <f t="shared" si="21"/>
        <v>477.04782904109589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55</v>
      </c>
      <c r="AM87" s="117">
        <f t="shared" si="10"/>
        <v>-32329880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P88" s="115"/>
      <c r="Q88" s="170">
        <v>1026238</v>
      </c>
      <c r="R88" s="169" t="s">
        <v>4666</v>
      </c>
      <c r="S88" s="169">
        <f>S87</f>
        <v>-4</v>
      </c>
      <c r="T88" s="169" t="s">
        <v>4672</v>
      </c>
      <c r="U88" s="169">
        <v>408.6</v>
      </c>
      <c r="V88" s="99">
        <f t="shared" si="16"/>
        <v>411.92253369863016</v>
      </c>
      <c r="W88" s="32">
        <f t="shared" si="20"/>
        <v>420.1609843726028</v>
      </c>
      <c r="X88" s="32">
        <f t="shared" si="21"/>
        <v>428.39943504657538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52</v>
      </c>
      <c r="AM88" s="117">
        <f t="shared" si="10"/>
        <v>-47189428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949</v>
      </c>
      <c r="N89">
        <v>6.3E-3</v>
      </c>
      <c r="P89" s="115"/>
      <c r="Q89" s="170">
        <v>982939</v>
      </c>
      <c r="R89" s="169" t="s">
        <v>4666</v>
      </c>
      <c r="S89" s="169">
        <f>S88</f>
        <v>-4</v>
      </c>
      <c r="T89" s="169" t="s">
        <v>4673</v>
      </c>
      <c r="U89" s="169">
        <v>122.3</v>
      </c>
      <c r="V89" s="99">
        <f t="shared" si="16"/>
        <v>123.29448328767123</v>
      </c>
      <c r="W89" s="32">
        <f t="shared" si="20"/>
        <v>125.76037295342465</v>
      </c>
      <c r="X89" s="32">
        <f t="shared" si="21"/>
        <v>128.22626261917807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52</v>
      </c>
      <c r="AM89" s="117">
        <f t="shared" si="10"/>
        <v>127400000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61</v>
      </c>
      <c r="N90">
        <v>4.8999999999999998E-3</v>
      </c>
      <c r="P90" s="115"/>
      <c r="Q90" s="170">
        <v>1013762</v>
      </c>
      <c r="R90" s="169" t="s">
        <v>4666</v>
      </c>
      <c r="S90" s="169">
        <f>S89</f>
        <v>-4</v>
      </c>
      <c r="T90" s="169" t="s">
        <v>4674</v>
      </c>
      <c r="U90" s="169">
        <v>217.1</v>
      </c>
      <c r="V90" s="99">
        <f t="shared" si="16"/>
        <v>218.86535013698631</v>
      </c>
      <c r="W90" s="32">
        <f t="shared" si="20"/>
        <v>223.24265713972605</v>
      </c>
      <c r="X90" s="32">
        <f t="shared" si="21"/>
        <v>227.61996414246576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51</v>
      </c>
      <c r="AM90" s="117">
        <f t="shared" si="10"/>
        <v>76500000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6</v>
      </c>
      <c r="N91">
        <f>N89+N90</f>
        <v>1.12E-2</v>
      </c>
      <c r="O91" t="s">
        <v>25</v>
      </c>
      <c r="P91" t="s">
        <v>25</v>
      </c>
      <c r="Q91" s="170">
        <v>13858128</v>
      </c>
      <c r="R91" s="169" t="s">
        <v>4666</v>
      </c>
      <c r="S91" s="169">
        <f>S90</f>
        <v>-4</v>
      </c>
      <c r="T91" s="169" t="s">
        <v>4675</v>
      </c>
      <c r="U91" s="169">
        <v>4500.5</v>
      </c>
      <c r="V91" s="99">
        <f t="shared" si="16"/>
        <v>4537.0958465753429</v>
      </c>
      <c r="W91" s="32">
        <f t="shared" si="20"/>
        <v>4627.83776350685</v>
      </c>
      <c r="X91" s="32">
        <f t="shared" si="21"/>
        <v>4718.5796804383572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50</v>
      </c>
      <c r="AM91" s="117">
        <f t="shared" si="10"/>
        <v>132400000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4068640</v>
      </c>
      <c r="R92" s="169" t="s">
        <v>4679</v>
      </c>
      <c r="S92" s="169">
        <f>S91-1</f>
        <v>-5</v>
      </c>
      <c r="T92" s="169" t="s">
        <v>4680</v>
      </c>
      <c r="U92" s="169">
        <v>3322.3</v>
      </c>
      <c r="V92" s="99">
        <f t="shared" si="16"/>
        <v>3346.7666915068498</v>
      </c>
      <c r="W92" s="32">
        <f t="shared" si="20"/>
        <v>3413.7020253369869</v>
      </c>
      <c r="X92" s="32">
        <f t="shared" si="21"/>
        <v>3480.637359167124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49</v>
      </c>
      <c r="AM92" s="117">
        <f t="shared" si="10"/>
        <v>30135000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12656982</v>
      </c>
      <c r="R93" s="169" t="s">
        <v>4679</v>
      </c>
      <c r="S93" s="169">
        <f>S92</f>
        <v>-5</v>
      </c>
      <c r="T93" s="169" t="s">
        <v>4681</v>
      </c>
      <c r="U93" s="169">
        <v>5249.9</v>
      </c>
      <c r="V93" s="99">
        <f t="shared" si="16"/>
        <v>5288.5622772602737</v>
      </c>
      <c r="W93" s="32">
        <f t="shared" si="20"/>
        <v>5394.3335228054793</v>
      </c>
      <c r="X93" s="32">
        <f t="shared" si="21"/>
        <v>5500.1047683506849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45</v>
      </c>
      <c r="AM93" s="117">
        <f t="shared" si="10"/>
        <v>630000000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170">
        <v>100905</v>
      </c>
      <c r="R94" s="169" t="s">
        <v>4683</v>
      </c>
      <c r="S94" s="169">
        <f>S93-1</f>
        <v>-6</v>
      </c>
      <c r="T94" s="169" t="s">
        <v>4690</v>
      </c>
      <c r="U94" s="169">
        <v>372</v>
      </c>
      <c r="V94" s="99">
        <f t="shared" si="16"/>
        <v>374.45418082191787</v>
      </c>
      <c r="W94" s="32">
        <f t="shared" si="20"/>
        <v>381.94326443835621</v>
      </c>
      <c r="X94" s="32">
        <f t="shared" si="21"/>
        <v>389.4323480547946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43</v>
      </c>
      <c r="AM94" s="117">
        <f t="shared" si="10"/>
        <v>56459000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s="197" t="s">
        <v>4549</v>
      </c>
      <c r="Q95" s="170">
        <v>48637534</v>
      </c>
      <c r="R95" s="169" t="s">
        <v>4683</v>
      </c>
      <c r="S95" s="169">
        <f>S94</f>
        <v>-6</v>
      </c>
      <c r="T95" s="169" t="s">
        <v>4688</v>
      </c>
      <c r="U95" s="169">
        <v>5330</v>
      </c>
      <c r="V95" s="99">
        <f t="shared" si="16"/>
        <v>5365.1633972602749</v>
      </c>
      <c r="W95" s="32">
        <f t="shared" si="20"/>
        <v>5472.4666652054802</v>
      </c>
      <c r="X95" s="32">
        <f t="shared" si="21"/>
        <v>5579.7699331506865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1" si="22">AL96+AK95</f>
        <v>43</v>
      </c>
      <c r="AM95" s="117">
        <f t="shared" si="10"/>
        <v>97567000</v>
      </c>
      <c r="AN95" s="99"/>
    </row>
    <row r="96" spans="4:52">
      <c r="D96" s="32" t="s">
        <v>314</v>
      </c>
      <c r="E96" s="1">
        <v>140000</v>
      </c>
      <c r="M96" t="s">
        <v>4550</v>
      </c>
      <c r="Q96" s="170">
        <v>40048573</v>
      </c>
      <c r="R96" s="169" t="s">
        <v>4683</v>
      </c>
      <c r="S96" s="169">
        <f>S95</f>
        <v>-6</v>
      </c>
      <c r="T96" s="169" t="s">
        <v>4689</v>
      </c>
      <c r="U96" s="169">
        <v>498.9</v>
      </c>
      <c r="V96" s="99">
        <f t="shared" si="16"/>
        <v>502.19137315068502</v>
      </c>
      <c r="W96" s="32">
        <f t="shared" si="20"/>
        <v>512.23520061369868</v>
      </c>
      <c r="X96" s="32">
        <f t="shared" si="21"/>
        <v>522.27902807671239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2"/>
        <v>42</v>
      </c>
      <c r="AM96" s="117">
        <f t="shared" si="10"/>
        <v>31500000</v>
      </c>
      <c r="AN96" s="99"/>
    </row>
    <row r="97" spans="4:47">
      <c r="D97" s="2" t="s">
        <v>478</v>
      </c>
      <c r="E97" s="3">
        <v>1083333</v>
      </c>
      <c r="M97" t="s">
        <v>4551</v>
      </c>
      <c r="Q97" s="170">
        <v>1000495</v>
      </c>
      <c r="R97" s="169" t="s">
        <v>4703</v>
      </c>
      <c r="S97" s="169">
        <f>S96-1</f>
        <v>-7</v>
      </c>
      <c r="T97" s="169" t="s">
        <v>4706</v>
      </c>
      <c r="U97" s="169">
        <v>724.8</v>
      </c>
      <c r="V97" s="99">
        <f t="shared" si="16"/>
        <v>729.0256832876712</v>
      </c>
      <c r="W97" s="32">
        <f t="shared" si="20"/>
        <v>743.60619695342461</v>
      </c>
      <c r="X97" s="32">
        <f t="shared" si="21"/>
        <v>758.18671061917803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2"/>
        <v>38</v>
      </c>
      <c r="AM97" s="117">
        <f t="shared" si="10"/>
        <v>72200000</v>
      </c>
      <c r="AN97" s="99"/>
    </row>
    <row r="98" spans="4:47">
      <c r="D98" s="2"/>
      <c r="E98" s="3"/>
      <c r="H98" s="96"/>
      <c r="M98" t="s">
        <v>4397</v>
      </c>
      <c r="Q98" s="170">
        <v>37856769</v>
      </c>
      <c r="R98" s="169" t="s">
        <v>4703</v>
      </c>
      <c r="S98" s="169">
        <f>S97</f>
        <v>-7</v>
      </c>
      <c r="T98" s="169" t="s">
        <v>4707</v>
      </c>
      <c r="U98" s="169">
        <v>5393.6</v>
      </c>
      <c r="V98" s="99">
        <f t="shared" si="16"/>
        <v>5425.0454268493158</v>
      </c>
      <c r="W98" s="32">
        <f t="shared" si="20"/>
        <v>5533.5463353863024</v>
      </c>
      <c r="X98" s="32">
        <f t="shared" si="21"/>
        <v>5642.047243923289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2"/>
        <v>35</v>
      </c>
      <c r="AM98" s="117">
        <f t="shared" si="10"/>
        <v>224000000</v>
      </c>
      <c r="AN98" s="99"/>
    </row>
    <row r="99" spans="4:47">
      <c r="D99" s="2"/>
      <c r="E99" s="3"/>
      <c r="M99" t="s">
        <v>4416</v>
      </c>
      <c r="Q99" s="170">
        <v>296363</v>
      </c>
      <c r="R99" s="169" t="s">
        <v>4703</v>
      </c>
      <c r="S99" s="169">
        <f>S98</f>
        <v>-7</v>
      </c>
      <c r="T99" s="169" t="s">
        <v>4708</v>
      </c>
      <c r="U99" s="169">
        <v>205</v>
      </c>
      <c r="V99" s="99">
        <f t="shared" si="16"/>
        <v>206.1951780821918</v>
      </c>
      <c r="W99" s="32">
        <f t="shared" si="20"/>
        <v>210.31908164383563</v>
      </c>
      <c r="X99" s="32">
        <f t="shared" si="21"/>
        <v>214.44298520547949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2"/>
        <v>34</v>
      </c>
      <c r="AM99" s="117">
        <f t="shared" si="10"/>
        <v>170000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4552</v>
      </c>
      <c r="Q100" s="170"/>
      <c r="R100" s="169"/>
      <c r="S100" s="169"/>
      <c r="T100" s="169"/>
      <c r="U100" s="169"/>
      <c r="V100" s="99">
        <f t="shared" si="16"/>
        <v>0</v>
      </c>
      <c r="W100" s="32">
        <f t="shared" si="20"/>
        <v>0</v>
      </c>
      <c r="X100" s="32">
        <f t="shared" si="21"/>
        <v>0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2"/>
        <v>29</v>
      </c>
      <c r="AM100" s="117">
        <f t="shared" si="10"/>
        <v>-50754292</v>
      </c>
      <c r="AN100" s="99"/>
    </row>
    <row r="101" spans="4:47">
      <c r="D101" s="2" t="s">
        <v>328</v>
      </c>
      <c r="E101" s="3">
        <f>E100/30</f>
        <v>112777.76666666666</v>
      </c>
      <c r="M101" t="s">
        <v>4401</v>
      </c>
      <c r="Q101" s="113">
        <f>SUM(N43:N60)-SUM(Q58:Q100)</f>
        <v>-22747561.199999988</v>
      </c>
      <c r="R101" s="112"/>
      <c r="S101" s="112"/>
      <c r="T101" s="112"/>
      <c r="U101" s="169"/>
      <c r="V101" s="99" t="s">
        <v>25</v>
      </c>
      <c r="W101" s="32"/>
      <c r="X101" s="32"/>
      <c r="AH101" s="99">
        <v>81</v>
      </c>
      <c r="AI101" s="113" t="s">
        <v>4575</v>
      </c>
      <c r="AJ101" s="113">
        <v>400000</v>
      </c>
      <c r="AK101" s="99">
        <v>0</v>
      </c>
      <c r="AL101" s="99">
        <f t="shared" si="22"/>
        <v>28</v>
      </c>
      <c r="AM101" s="117">
        <f t="shared" si="10"/>
        <v>11200000</v>
      </c>
      <c r="AN101" s="99"/>
    </row>
    <row r="102" spans="4:47">
      <c r="M102" t="s">
        <v>4553</v>
      </c>
      <c r="Q102" s="26"/>
      <c r="R102" s="183"/>
      <c r="S102" s="183"/>
      <c r="T102" t="s">
        <v>25</v>
      </c>
      <c r="U102" s="96" t="s">
        <v>25</v>
      </c>
      <c r="V102" s="96" t="s">
        <v>25</v>
      </c>
      <c r="AH102" s="99">
        <v>82</v>
      </c>
      <c r="AI102" s="113" t="s">
        <v>4575</v>
      </c>
      <c r="AJ102" s="113">
        <v>-2105421</v>
      </c>
      <c r="AK102" s="99">
        <v>1</v>
      </c>
      <c r="AL102" s="99">
        <f t="shared" si="22"/>
        <v>28</v>
      </c>
      <c r="AM102" s="117">
        <f t="shared" si="10"/>
        <v>-58951788</v>
      </c>
      <c r="AN102" s="99"/>
      <c r="AO102" t="s">
        <v>25</v>
      </c>
    </row>
    <row r="103" spans="4:47">
      <c r="M103" t="s">
        <v>4554</v>
      </c>
      <c r="P103" s="115"/>
      <c r="R103" s="32" t="s">
        <v>4594</v>
      </c>
      <c r="S103" s="32" t="s">
        <v>950</v>
      </c>
      <c r="T103" t="s">
        <v>25</v>
      </c>
      <c r="U103" s="96" t="s">
        <v>25</v>
      </c>
      <c r="V103" s="96" t="s">
        <v>25</v>
      </c>
      <c r="W103" s="96" t="s">
        <v>25</v>
      </c>
      <c r="AH103" s="99">
        <v>83</v>
      </c>
      <c r="AI103" s="113" t="s">
        <v>4580</v>
      </c>
      <c r="AJ103" s="113">
        <v>-5527618</v>
      </c>
      <c r="AK103" s="99">
        <v>0</v>
      </c>
      <c r="AL103" s="99">
        <f t="shared" si="22"/>
        <v>27</v>
      </c>
      <c r="AM103" s="117">
        <f t="shared" si="10"/>
        <v>-149245686</v>
      </c>
      <c r="AN103" s="99"/>
    </row>
    <row r="104" spans="4:47">
      <c r="P104" s="128"/>
      <c r="R104" s="32">
        <v>20</v>
      </c>
      <c r="S104" s="170">
        <v>7991977</v>
      </c>
      <c r="U104" s="96" t="s">
        <v>25</v>
      </c>
      <c r="V104" s="122" t="s">
        <v>25</v>
      </c>
      <c r="X104" t="s">
        <v>25</v>
      </c>
      <c r="AH104" s="99">
        <v>84</v>
      </c>
      <c r="AI104" s="113" t="s">
        <v>4580</v>
      </c>
      <c r="AJ104" s="113">
        <v>3900000</v>
      </c>
      <c r="AK104" s="99">
        <v>3</v>
      </c>
      <c r="AL104" s="99">
        <f t="shared" si="22"/>
        <v>27</v>
      </c>
      <c r="AM104" s="117">
        <f t="shared" si="10"/>
        <v>105300000</v>
      </c>
      <c r="AN104" s="99"/>
    </row>
    <row r="105" spans="4:47">
      <c r="P105" s="128"/>
      <c r="Q105" t="s">
        <v>25</v>
      </c>
      <c r="R105" s="32">
        <v>10</v>
      </c>
      <c r="S105" s="1">
        <f>S104*R105/R104</f>
        <v>3995988.5</v>
      </c>
      <c r="U105" s="96" t="s">
        <v>25</v>
      </c>
      <c r="V105" s="122" t="s">
        <v>25</v>
      </c>
      <c r="W105" s="96" t="s">
        <v>25</v>
      </c>
      <c r="X105" t="s">
        <v>25</v>
      </c>
      <c r="AH105" s="99">
        <v>85</v>
      </c>
      <c r="AI105" s="113" t="s">
        <v>4582</v>
      </c>
      <c r="AJ105" s="113">
        <v>-3969754</v>
      </c>
      <c r="AK105" s="99">
        <v>1</v>
      </c>
      <c r="AL105" s="99">
        <f t="shared" si="22"/>
        <v>24</v>
      </c>
      <c r="AM105" s="117">
        <f t="shared" si="10"/>
        <v>-95274096</v>
      </c>
      <c r="AN105" s="99"/>
    </row>
    <row r="106" spans="4:47">
      <c r="P106" s="115"/>
      <c r="R106" s="32">
        <f>R104-R105</f>
        <v>10</v>
      </c>
      <c r="S106" s="1">
        <f>R106*S104/R104</f>
        <v>3995988.5</v>
      </c>
      <c r="V106" s="96"/>
      <c r="W106"/>
      <c r="AH106" s="99">
        <v>86</v>
      </c>
      <c r="AI106" s="113" t="s">
        <v>4595</v>
      </c>
      <c r="AJ106" s="113">
        <v>-25574455</v>
      </c>
      <c r="AK106" s="99">
        <v>0</v>
      </c>
      <c r="AL106" s="99">
        <f t="shared" si="22"/>
        <v>23</v>
      </c>
      <c r="AM106" s="117">
        <f t="shared" si="10"/>
        <v>-588212465</v>
      </c>
      <c r="AN106" s="99"/>
      <c r="AP106" t="s">
        <v>25</v>
      </c>
    </row>
    <row r="107" spans="4:47">
      <c r="V107" s="96"/>
      <c r="W107"/>
      <c r="AH107" s="99">
        <v>87</v>
      </c>
      <c r="AI107" s="113" t="s">
        <v>4595</v>
      </c>
      <c r="AJ107" s="113">
        <v>4000000</v>
      </c>
      <c r="AK107" s="99">
        <v>1</v>
      </c>
      <c r="AL107" s="99">
        <f t="shared" si="22"/>
        <v>23</v>
      </c>
      <c r="AM107" s="117">
        <f t="shared" si="10"/>
        <v>92000000</v>
      </c>
      <c r="AN107" s="99"/>
    </row>
    <row r="108" spans="4:47">
      <c r="Q108" s="99" t="s">
        <v>4470</v>
      </c>
      <c r="R108" s="99" t="s">
        <v>4472</v>
      </c>
      <c r="S108" s="99"/>
      <c r="T108" s="99" t="s">
        <v>4473</v>
      </c>
      <c r="U108" s="99"/>
      <c r="V108" s="99"/>
      <c r="W108" s="99" t="s">
        <v>4600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22</v>
      </c>
      <c r="AM108" s="117">
        <f t="shared" si="10"/>
        <v>-110000000</v>
      </c>
      <c r="AN108" s="99"/>
    </row>
    <row r="109" spans="4:47">
      <c r="Q109" s="113">
        <v>1000</v>
      </c>
      <c r="R109" s="99">
        <v>0.25</v>
      </c>
      <c r="S109" s="99"/>
      <c r="T109" s="99">
        <f>1-R109</f>
        <v>0.75</v>
      </c>
      <c r="U109" s="99"/>
      <c r="V109" s="99"/>
      <c r="W109" s="99"/>
      <c r="AD109" s="96"/>
      <c r="AE109"/>
      <c r="AF109"/>
      <c r="AH109" s="99">
        <v>89</v>
      </c>
      <c r="AI109" s="113" t="s">
        <v>4604</v>
      </c>
      <c r="AJ109" s="113">
        <v>10000000</v>
      </c>
      <c r="AK109" s="99">
        <v>4</v>
      </c>
      <c r="AL109" s="99">
        <f t="shared" si="22"/>
        <v>20</v>
      </c>
      <c r="AM109" s="117">
        <f t="shared" si="10"/>
        <v>200000000</v>
      </c>
      <c r="AN109" s="99"/>
    </row>
    <row r="110" spans="4:47">
      <c r="K110" s="169" t="s">
        <v>4555</v>
      </c>
      <c r="L110" s="169" t="s">
        <v>4556</v>
      </c>
      <c r="M110" s="169" t="s">
        <v>4443</v>
      </c>
      <c r="N110" s="56" t="s">
        <v>190</v>
      </c>
      <c r="Q110" s="169" t="s">
        <v>4457</v>
      </c>
      <c r="R110" s="169" t="s">
        <v>4475</v>
      </c>
      <c r="S110" s="169" t="s">
        <v>4477</v>
      </c>
      <c r="T110" s="169" t="s">
        <v>180</v>
      </c>
      <c r="U110" s="169" t="s">
        <v>4471</v>
      </c>
      <c r="V110" s="56" t="s">
        <v>4474</v>
      </c>
      <c r="W110" s="99"/>
      <c r="X110" s="115"/>
      <c r="AH110" s="99">
        <v>90</v>
      </c>
      <c r="AI110" s="113" t="s">
        <v>4606</v>
      </c>
      <c r="AJ110" s="113">
        <v>-5241937</v>
      </c>
      <c r="AK110" s="99">
        <v>0</v>
      </c>
      <c r="AL110" s="99">
        <f t="shared" si="22"/>
        <v>16</v>
      </c>
      <c r="AM110" s="117">
        <f t="shared" si="10"/>
        <v>-83870992</v>
      </c>
      <c r="AN110" s="99"/>
    </row>
    <row r="111" spans="4:47">
      <c r="K111" s="169" t="s">
        <v>4244</v>
      </c>
      <c r="L111" s="170">
        <v>1100000</v>
      </c>
      <c r="M111" s="170">
        <v>1637000</v>
      </c>
      <c r="N111" s="169">
        <f t="shared" ref="N111:N119" si="23">(M111-L111)*100/L111</f>
        <v>48.81818181818182</v>
      </c>
      <c r="Q111" s="169" t="s">
        <v>751</v>
      </c>
      <c r="R111" s="56">
        <v>1078776</v>
      </c>
      <c r="S111" s="113">
        <f>R111*$T$147</f>
        <v>265744219.5691326</v>
      </c>
      <c r="T111" s="169" t="s">
        <v>4469</v>
      </c>
      <c r="U111" s="169">
        <f>$Q$109*$T$109*S111/$R$134</f>
        <v>448.33926255943084</v>
      </c>
      <c r="V111" s="95">
        <f>S111+U111</f>
        <v>265744667.90839514</v>
      </c>
      <c r="W111" s="99">
        <f>R111*100/U144</f>
        <v>59.77856834125744</v>
      </c>
      <c r="X111" s="163"/>
      <c r="AH111" s="99">
        <v>91</v>
      </c>
      <c r="AI111" s="113" t="s">
        <v>4606</v>
      </c>
      <c r="AJ111" s="113">
        <v>21900000</v>
      </c>
      <c r="AK111" s="99">
        <v>2</v>
      </c>
      <c r="AL111" s="99">
        <f t="shared" si="22"/>
        <v>16</v>
      </c>
      <c r="AM111" s="117">
        <f t="shared" si="10"/>
        <v>350400000</v>
      </c>
      <c r="AN111" s="99"/>
      <c r="AP111" t="s">
        <v>25</v>
      </c>
      <c r="AR111" s="96"/>
      <c r="AS111" s="96"/>
      <c r="AT111"/>
      <c r="AU111"/>
    </row>
    <row r="112" spans="4:47">
      <c r="K112" s="5" t="s">
        <v>4550</v>
      </c>
      <c r="L112" s="170">
        <v>1100000</v>
      </c>
      <c r="M112" s="170">
        <v>4748000</v>
      </c>
      <c r="N112" s="169">
        <f t="shared" si="23"/>
        <v>331.63636363636363</v>
      </c>
      <c r="Q112" s="169" t="s">
        <v>4459</v>
      </c>
      <c r="R112" s="56">
        <v>680452</v>
      </c>
      <c r="S112" s="113">
        <f>R112*$T$147</f>
        <v>167621624.59514803</v>
      </c>
      <c r="T112" s="169" t="s">
        <v>4469</v>
      </c>
      <c r="U112" s="169">
        <f>$Q$109*$T$109*S112/$R$134+Q109*R109</f>
        <v>532.7958240516009</v>
      </c>
      <c r="V112" s="95">
        <f>S112+U112</f>
        <v>167622157.39097208</v>
      </c>
      <c r="W112" s="99">
        <f>R112*100/U144</f>
        <v>37.706109873546787</v>
      </c>
      <c r="X112" s="115"/>
      <c r="AH112" s="99">
        <v>92</v>
      </c>
      <c r="AI112" s="113" t="s">
        <v>4617</v>
      </c>
      <c r="AJ112" s="113">
        <v>-15000000</v>
      </c>
      <c r="AK112" s="99">
        <v>0</v>
      </c>
      <c r="AL112" s="99">
        <f t="shared" si="22"/>
        <v>14</v>
      </c>
      <c r="AM112" s="117">
        <f t="shared" si="10"/>
        <v>-210000000</v>
      </c>
      <c r="AN112" s="99"/>
      <c r="AO112" t="s">
        <v>25</v>
      </c>
    </row>
    <row r="113" spans="11:43">
      <c r="K113" s="5" t="s">
        <v>4551</v>
      </c>
      <c r="L113" s="170">
        <v>1100000</v>
      </c>
      <c r="M113" s="170">
        <v>5137000</v>
      </c>
      <c r="N113" s="169">
        <f t="shared" si="23"/>
        <v>367</v>
      </c>
      <c r="Q113" s="169" t="s">
        <v>4458</v>
      </c>
      <c r="R113" s="56">
        <v>45392</v>
      </c>
      <c r="S113" s="113">
        <f>R113*$T$147</f>
        <v>11181803.835719433</v>
      </c>
      <c r="T113" s="169" t="s">
        <v>4469</v>
      </c>
      <c r="U113" s="169">
        <f>$Q$109*$T$109*S113/$R$134</f>
        <v>18.864913388968315</v>
      </c>
      <c r="V113" s="95">
        <f>S113+U113</f>
        <v>11181822.700632822</v>
      </c>
      <c r="W113" s="99">
        <f>R113*100/U144</f>
        <v>2.5153217851957752</v>
      </c>
      <c r="X113" s="115"/>
      <c r="AH113" s="99">
        <v>93</v>
      </c>
      <c r="AI113" s="113" t="s">
        <v>4617</v>
      </c>
      <c r="AJ113" s="113">
        <v>3000000</v>
      </c>
      <c r="AK113" s="99">
        <v>1</v>
      </c>
      <c r="AL113" s="99">
        <f t="shared" si="22"/>
        <v>14</v>
      </c>
      <c r="AM113" s="117">
        <f t="shared" si="10"/>
        <v>42000000</v>
      </c>
      <c r="AN113" s="99"/>
    </row>
    <row r="114" spans="11:43">
      <c r="K114" s="19" t="s">
        <v>4397</v>
      </c>
      <c r="L114" s="170">
        <v>1100000</v>
      </c>
      <c r="M114" s="170">
        <v>4300000</v>
      </c>
      <c r="N114" s="169">
        <f t="shared" si="23"/>
        <v>290.90909090909093</v>
      </c>
      <c r="Q114" s="169"/>
      <c r="R114" s="56"/>
      <c r="S114" s="169"/>
      <c r="T114" s="169"/>
      <c r="U114" s="169"/>
      <c r="V114" s="99"/>
      <c r="W114" s="99"/>
      <c r="X114" s="115"/>
      <c r="AH114" s="99">
        <v>94</v>
      </c>
      <c r="AI114" s="113" t="s">
        <v>4621</v>
      </c>
      <c r="AJ114" s="113">
        <v>-2103736</v>
      </c>
      <c r="AK114" s="99">
        <v>0</v>
      </c>
      <c r="AL114" s="99">
        <f t="shared" si="22"/>
        <v>13</v>
      </c>
      <c r="AM114" s="117">
        <f t="shared" si="10"/>
        <v>-27348568</v>
      </c>
      <c r="AN114" s="99"/>
    </row>
    <row r="115" spans="11:43">
      <c r="K115" s="5" t="s">
        <v>4416</v>
      </c>
      <c r="L115" s="170">
        <v>1100000</v>
      </c>
      <c r="M115" s="170">
        <v>3191000</v>
      </c>
      <c r="N115" s="169">
        <f t="shared" si="23"/>
        <v>190.09090909090909</v>
      </c>
      <c r="Q115" s="169"/>
      <c r="R115" s="56"/>
      <c r="S115" s="169"/>
      <c r="T115" s="169"/>
      <c r="U115" s="169"/>
      <c r="V115" s="169"/>
      <c r="W115" s="99"/>
      <c r="X115" s="96"/>
      <c r="Y115" t="s">
        <v>25</v>
      </c>
      <c r="AH115" s="99">
        <v>95</v>
      </c>
      <c r="AI115" s="113" t="s">
        <v>4621</v>
      </c>
      <c r="AJ115" s="113">
        <v>220000</v>
      </c>
      <c r="AK115" s="99">
        <v>3</v>
      </c>
      <c r="AL115" s="99">
        <f t="shared" si="22"/>
        <v>13</v>
      </c>
      <c r="AM115" s="117">
        <f t="shared" si="10"/>
        <v>2860000</v>
      </c>
      <c r="AN115" s="99"/>
      <c r="AQ115" t="s">
        <v>25</v>
      </c>
    </row>
    <row r="116" spans="11:43">
      <c r="K116" s="5" t="s">
        <v>4552</v>
      </c>
      <c r="L116" s="170">
        <v>1100000</v>
      </c>
      <c r="M116" s="170">
        <v>5623000</v>
      </c>
      <c r="N116" s="169">
        <f t="shared" si="23"/>
        <v>411.18181818181819</v>
      </c>
      <c r="Q116" s="169"/>
      <c r="R116" s="169"/>
      <c r="S116" s="169"/>
      <c r="T116" s="169"/>
      <c r="U116" s="169"/>
      <c r="V116" s="169"/>
      <c r="W116" s="99"/>
      <c r="X116" s="96"/>
      <c r="AH116" s="99">
        <v>96</v>
      </c>
      <c r="AI116" s="113" t="s">
        <v>4631</v>
      </c>
      <c r="AJ116" s="113">
        <v>4000000</v>
      </c>
      <c r="AK116" s="99">
        <v>1</v>
      </c>
      <c r="AL116" s="99">
        <f t="shared" si="22"/>
        <v>10</v>
      </c>
      <c r="AM116" s="117">
        <f t="shared" si="10"/>
        <v>40000000</v>
      </c>
      <c r="AN116" s="99"/>
    </row>
    <row r="117" spans="11:43">
      <c r="K117" s="19" t="s">
        <v>4401</v>
      </c>
      <c r="L117" s="170">
        <v>1100000</v>
      </c>
      <c r="M117" s="170">
        <v>7728000</v>
      </c>
      <c r="N117" s="169">
        <f t="shared" si="23"/>
        <v>602.5454545454545</v>
      </c>
      <c r="Q117" s="99"/>
      <c r="R117" s="99"/>
      <c r="S117" s="99"/>
      <c r="T117" s="99" t="s">
        <v>25</v>
      </c>
      <c r="U117" s="99"/>
      <c r="V117" s="99"/>
      <c r="W117" s="99"/>
      <c r="X117" s="96"/>
      <c r="AH117" s="99">
        <v>97</v>
      </c>
      <c r="AI117" s="113" t="s">
        <v>4637</v>
      </c>
      <c r="AJ117" s="113">
        <v>-9000000</v>
      </c>
      <c r="AK117" s="99">
        <v>0</v>
      </c>
      <c r="AL117" s="99">
        <f t="shared" si="22"/>
        <v>9</v>
      </c>
      <c r="AM117" s="117">
        <f t="shared" si="10"/>
        <v>-81000000</v>
      </c>
      <c r="AN117" s="99"/>
      <c r="AP117" t="s">
        <v>25</v>
      </c>
    </row>
    <row r="118" spans="11:43">
      <c r="K118" s="5" t="s">
        <v>4554</v>
      </c>
      <c r="L118" s="170">
        <v>1100000</v>
      </c>
      <c r="M118" s="170">
        <v>2904000</v>
      </c>
      <c r="N118" s="169">
        <f t="shared" si="23"/>
        <v>164</v>
      </c>
      <c r="Q118" s="99"/>
      <c r="R118" s="99"/>
      <c r="S118" s="99"/>
      <c r="T118" s="99"/>
      <c r="U118" s="99"/>
      <c r="V118" s="99"/>
      <c r="W118" s="99"/>
      <c r="X118" s="96"/>
      <c r="AH118" s="99">
        <v>98</v>
      </c>
      <c r="AI118" s="113" t="s">
        <v>4637</v>
      </c>
      <c r="AJ118" s="113">
        <v>13900000</v>
      </c>
      <c r="AK118" s="99">
        <v>2</v>
      </c>
      <c r="AL118" s="99">
        <f t="shared" si="22"/>
        <v>9</v>
      </c>
      <c r="AM118" s="117">
        <f t="shared" si="10"/>
        <v>125100000</v>
      </c>
      <c r="AN118" s="99"/>
    </row>
    <row r="119" spans="11:43">
      <c r="K119" s="56" t="s">
        <v>1086</v>
      </c>
      <c r="L119" s="170">
        <v>1100000</v>
      </c>
      <c r="M119" s="170">
        <v>3400000</v>
      </c>
      <c r="N119" s="169">
        <f t="shared" si="23"/>
        <v>209.09090909090909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4650</v>
      </c>
      <c r="AJ119" s="113">
        <v>-8127577</v>
      </c>
      <c r="AK119" s="99">
        <v>1</v>
      </c>
      <c r="AL119" s="99">
        <f t="shared" si="22"/>
        <v>7</v>
      </c>
      <c r="AM119" s="117">
        <f t="shared" si="10"/>
        <v>-56893039</v>
      </c>
      <c r="AN119" s="99"/>
      <c r="AO119" t="s">
        <v>25</v>
      </c>
    </row>
    <row r="120" spans="11:43">
      <c r="K120" s="210" t="s">
        <v>4590</v>
      </c>
      <c r="Q120" s="96"/>
      <c r="R120" s="96"/>
      <c r="S120" s="96"/>
      <c r="T120" s="96"/>
      <c r="V120" s="96"/>
      <c r="X120" s="115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2"/>
        <v>6</v>
      </c>
      <c r="AM120" s="117">
        <f t="shared" si="10"/>
        <v>94755294</v>
      </c>
      <c r="AN120" s="99"/>
      <c r="AO120" t="s">
        <v>25</v>
      </c>
      <c r="AP120" t="s">
        <v>25</v>
      </c>
    </row>
    <row r="121" spans="11:43">
      <c r="K121" s="210" t="s">
        <v>4591</v>
      </c>
      <c r="P121" s="114"/>
      <c r="Q121" s="96"/>
      <c r="R121" s="96"/>
      <c r="S121" s="96"/>
      <c r="T121" s="96"/>
      <c r="V121" s="96"/>
      <c r="AH121" s="99">
        <v>101</v>
      </c>
      <c r="AI121" s="113" t="s">
        <v>4658</v>
      </c>
      <c r="AJ121" s="113">
        <v>8800000</v>
      </c>
      <c r="AK121" s="99">
        <v>0</v>
      </c>
      <c r="AL121" s="99">
        <f t="shared" ref="AL121:AL126" si="24">AL122+AK121</f>
        <v>3</v>
      </c>
      <c r="AM121" s="117">
        <f t="shared" ref="AM121:AM127" si="25">AJ121*AL121</f>
        <v>26400000</v>
      </c>
      <c r="AN121" s="99"/>
      <c r="AP121" t="s">
        <v>25</v>
      </c>
    </row>
    <row r="122" spans="11:43" ht="45">
      <c r="K122" s="210" t="s">
        <v>4592</v>
      </c>
      <c r="Q122" s="96"/>
      <c r="R122" s="96"/>
      <c r="S122" s="96"/>
      <c r="T122" s="96" t="s">
        <v>25</v>
      </c>
      <c r="V122" s="96"/>
      <c r="Y122" t="s">
        <v>25</v>
      </c>
      <c r="AH122" s="121">
        <v>102</v>
      </c>
      <c r="AI122" s="79" t="s">
        <v>4658</v>
      </c>
      <c r="AJ122" s="79">
        <v>13071612</v>
      </c>
      <c r="AK122" s="121">
        <v>1</v>
      </c>
      <c r="AL122" s="121">
        <f t="shared" si="24"/>
        <v>3</v>
      </c>
      <c r="AM122" s="79">
        <f t="shared" si="25"/>
        <v>39214836</v>
      </c>
      <c r="AN122" s="212" t="s">
        <v>4663</v>
      </c>
      <c r="AQ122" t="s">
        <v>25</v>
      </c>
    </row>
    <row r="123" spans="11:43">
      <c r="Q123" s="96"/>
      <c r="R123" s="96"/>
      <c r="S123" s="96"/>
      <c r="T123" s="96"/>
      <c r="V123" s="96"/>
      <c r="AH123" s="89">
        <v>103</v>
      </c>
      <c r="AI123" s="90" t="s">
        <v>4666</v>
      </c>
      <c r="AJ123" s="90">
        <v>16727037</v>
      </c>
      <c r="AK123" s="89">
        <v>0</v>
      </c>
      <c r="AL123" s="89">
        <f t="shared" si="24"/>
        <v>2</v>
      </c>
      <c r="AM123" s="90">
        <f t="shared" si="25"/>
        <v>33454074</v>
      </c>
      <c r="AN123" s="89" t="s">
        <v>4684</v>
      </c>
    </row>
    <row r="124" spans="11:43">
      <c r="Q124" s="96"/>
      <c r="R124" s="96"/>
      <c r="S124" s="96"/>
      <c r="T124" s="99" t="s">
        <v>180</v>
      </c>
      <c r="U124" s="99" t="s">
        <v>4493</v>
      </c>
      <c r="V124" s="99" t="s">
        <v>4494</v>
      </c>
      <c r="W124" s="99" t="s">
        <v>4504</v>
      </c>
      <c r="X124" s="99" t="s">
        <v>8</v>
      </c>
      <c r="Y124" t="s">
        <v>25</v>
      </c>
      <c r="AH124" s="99">
        <v>104</v>
      </c>
      <c r="AI124" s="113" t="s">
        <v>4666</v>
      </c>
      <c r="AJ124" s="113">
        <v>12000000</v>
      </c>
      <c r="AK124" s="99">
        <v>1</v>
      </c>
      <c r="AL124" s="99">
        <f t="shared" si="24"/>
        <v>2</v>
      </c>
      <c r="AM124" s="117">
        <f t="shared" si="25"/>
        <v>24000000</v>
      </c>
      <c r="AN124" s="99" t="s">
        <v>4685</v>
      </c>
    </row>
    <row r="125" spans="11:43">
      <c r="P125" s="114"/>
      <c r="Q125" s="36" t="s">
        <v>4593</v>
      </c>
      <c r="R125" s="95">
        <f>SUM(N43:N60)</f>
        <v>412412290.80000001</v>
      </c>
      <c r="T125" s="113" t="s">
        <v>4469</v>
      </c>
      <c r="U125" s="56">
        <v>1000000</v>
      </c>
      <c r="V125" s="113">
        <v>239.024</v>
      </c>
      <c r="W125" s="113">
        <f t="shared" ref="W125:W143" si="26">U125*V125</f>
        <v>239024000</v>
      </c>
      <c r="X125" s="99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4"/>
        <v>1</v>
      </c>
      <c r="AM125" s="90">
        <f t="shared" si="25"/>
        <v>88697667</v>
      </c>
      <c r="AN125" s="89" t="s">
        <v>4686</v>
      </c>
      <c r="AP125" t="s">
        <v>25</v>
      </c>
    </row>
    <row r="126" spans="11:43">
      <c r="K126" t="s">
        <v>4297</v>
      </c>
      <c r="Q126" s="99" t="s">
        <v>4460</v>
      </c>
      <c r="R126" s="95">
        <f>SUM(N21:N25)</f>
        <v>25549477.600000005</v>
      </c>
      <c r="T126" s="169" t="s">
        <v>4451</v>
      </c>
      <c r="U126" s="56">
        <v>5904</v>
      </c>
      <c r="V126" s="113">
        <v>237.148</v>
      </c>
      <c r="W126" s="113">
        <f t="shared" si="26"/>
        <v>1400121.7919999999</v>
      </c>
      <c r="X126" s="99" t="s">
        <v>751</v>
      </c>
      <c r="AH126" s="99">
        <v>106</v>
      </c>
      <c r="AI126" s="113" t="s">
        <v>4569</v>
      </c>
      <c r="AJ126" s="113">
        <v>101000</v>
      </c>
      <c r="AK126" s="99">
        <v>0</v>
      </c>
      <c r="AL126" s="99">
        <f t="shared" si="24"/>
        <v>0</v>
      </c>
      <c r="AM126" s="117">
        <f t="shared" si="25"/>
        <v>0</v>
      </c>
      <c r="AN126" s="99"/>
    </row>
    <row r="127" spans="11:43">
      <c r="K127" t="s">
        <v>4654</v>
      </c>
      <c r="Q127" s="99" t="s">
        <v>4461</v>
      </c>
      <c r="R127" s="95">
        <f>SUM(N28:N30)</f>
        <v>3369376.6</v>
      </c>
      <c r="T127" s="169" t="s">
        <v>4233</v>
      </c>
      <c r="U127" s="169">
        <v>1000</v>
      </c>
      <c r="V127" s="113">
        <v>247.393</v>
      </c>
      <c r="W127" s="113">
        <f t="shared" si="26"/>
        <v>247393</v>
      </c>
      <c r="X127" s="99" t="s">
        <v>751</v>
      </c>
      <c r="AH127" s="149">
        <v>107</v>
      </c>
      <c r="AI127" s="191" t="s">
        <v>4683</v>
      </c>
      <c r="AJ127" s="191">
        <v>-48200</v>
      </c>
      <c r="AK127" s="149">
        <v>0</v>
      </c>
      <c r="AL127" s="149">
        <f>AL131+AK127</f>
        <v>0</v>
      </c>
      <c r="AM127" s="191">
        <f t="shared" si="25"/>
        <v>0</v>
      </c>
      <c r="AN127" s="149" t="s">
        <v>4696</v>
      </c>
      <c r="AQ127" t="s">
        <v>25</v>
      </c>
    </row>
    <row r="128" spans="11:43">
      <c r="K128" t="s">
        <v>4655</v>
      </c>
      <c r="Q128" s="99" t="s">
        <v>4462</v>
      </c>
      <c r="R128" s="95">
        <f>N41</f>
        <v>165296</v>
      </c>
      <c r="T128" s="169" t="s">
        <v>4506</v>
      </c>
      <c r="U128" s="169">
        <v>8071</v>
      </c>
      <c r="V128" s="113">
        <v>247.797</v>
      </c>
      <c r="W128" s="113">
        <f t="shared" si="26"/>
        <v>1999969.5870000001</v>
      </c>
      <c r="X128" s="99" t="s">
        <v>4458</v>
      </c>
      <c r="AH128" s="89">
        <v>108</v>
      </c>
      <c r="AI128" s="90" t="s">
        <v>4683</v>
      </c>
      <c r="AJ128" s="90">
        <v>39327293</v>
      </c>
      <c r="AK128" s="89">
        <v>1</v>
      </c>
      <c r="AL128" s="89"/>
      <c r="AM128" s="90"/>
      <c r="AN128" s="89" t="s">
        <v>4699</v>
      </c>
    </row>
    <row r="129" spans="11:43">
      <c r="K129" t="s">
        <v>4656</v>
      </c>
      <c r="Q129" s="99" t="s">
        <v>4463</v>
      </c>
      <c r="R129" s="95">
        <f>N20</f>
        <v>153643</v>
      </c>
      <c r="T129" s="169" t="s">
        <v>4506</v>
      </c>
      <c r="U129" s="169">
        <v>53672</v>
      </c>
      <c r="V129" s="113">
        <v>247.797</v>
      </c>
      <c r="W129" s="113">
        <f t="shared" si="26"/>
        <v>13299760.584000001</v>
      </c>
      <c r="X129" s="99" t="s">
        <v>452</v>
      </c>
      <c r="AH129" s="99"/>
      <c r="AI129" s="113"/>
      <c r="AJ129" s="113"/>
      <c r="AK129" s="99"/>
      <c r="AL129" s="99"/>
      <c r="AM129" s="117"/>
      <c r="AN129" s="99"/>
    </row>
    <row r="130" spans="11:43">
      <c r="K130" t="s">
        <v>4551</v>
      </c>
      <c r="P130" s="114"/>
      <c r="Q130" s="99" t="s">
        <v>4464</v>
      </c>
      <c r="R130" s="95">
        <f>N27</f>
        <v>153643</v>
      </c>
      <c r="T130" s="169" t="s">
        <v>4516</v>
      </c>
      <c r="U130" s="169">
        <v>4099</v>
      </c>
      <c r="V130" s="113">
        <v>243.93</v>
      </c>
      <c r="W130" s="113">
        <f t="shared" si="26"/>
        <v>999869.07000000007</v>
      </c>
      <c r="X130" s="99" t="s">
        <v>4458</v>
      </c>
      <c r="AH130" s="99"/>
      <c r="AI130" s="113"/>
      <c r="AJ130" s="113"/>
      <c r="AK130" s="99"/>
      <c r="AL130" s="99"/>
      <c r="AM130" s="117"/>
      <c r="AN130" s="99"/>
      <c r="AQ130" t="s">
        <v>25</v>
      </c>
    </row>
    <row r="131" spans="11:43">
      <c r="Q131" s="99" t="s">
        <v>4476</v>
      </c>
      <c r="R131" s="95">
        <v>2358068</v>
      </c>
      <c r="T131" s="169" t="s">
        <v>4516</v>
      </c>
      <c r="U131" s="169">
        <v>9301</v>
      </c>
      <c r="V131" s="113">
        <v>243.93</v>
      </c>
      <c r="W131" s="113">
        <f t="shared" si="26"/>
        <v>2268792.9300000002</v>
      </c>
      <c r="X131" s="99" t="s">
        <v>452</v>
      </c>
      <c r="AH131" s="99"/>
      <c r="AI131" s="113"/>
      <c r="AJ131" s="113"/>
      <c r="AK131" s="99"/>
      <c r="AL131" s="99">
        <f t="shared" si="22"/>
        <v>0</v>
      </c>
      <c r="AM131" s="117">
        <f t="shared" si="10"/>
        <v>0</v>
      </c>
      <c r="AN131" s="99"/>
    </row>
    <row r="132" spans="11:43">
      <c r="Q132" s="99" t="s">
        <v>4581</v>
      </c>
      <c r="R132" s="95">
        <v>347153</v>
      </c>
      <c r="T132" s="169" t="s">
        <v>4524</v>
      </c>
      <c r="U132" s="169">
        <v>8334</v>
      </c>
      <c r="V132" s="113">
        <v>239.97</v>
      </c>
      <c r="W132" s="113">
        <f t="shared" si="26"/>
        <v>1999909.98</v>
      </c>
      <c r="X132" s="99" t="s">
        <v>4458</v>
      </c>
      <c r="AH132" s="99"/>
      <c r="AI132" s="99"/>
      <c r="AJ132" s="95">
        <f>SUM(AJ20:AJ131)</f>
        <v>405977412</v>
      </c>
      <c r="AK132" s="99"/>
      <c r="AL132" s="99"/>
      <c r="AM132" s="95">
        <f>SUM(AM20:AM131)</f>
        <v>33613485482</v>
      </c>
      <c r="AN132" s="95">
        <f>AM132*AN135/31</f>
        <v>21686119.66580645</v>
      </c>
    </row>
    <row r="133" spans="11:43">
      <c r="Q133" s="99" t="s">
        <v>4613</v>
      </c>
      <c r="R133" s="95">
        <v>38700</v>
      </c>
      <c r="T133" s="169" t="s">
        <v>4232</v>
      </c>
      <c r="U133" s="169">
        <v>29041</v>
      </c>
      <c r="V133" s="113">
        <v>233.45</v>
      </c>
      <c r="W133" s="113">
        <f t="shared" si="26"/>
        <v>6779621.4499999993</v>
      </c>
      <c r="X133" s="99" t="s">
        <v>751</v>
      </c>
      <c r="AH133" s="99"/>
      <c r="AI133" s="99"/>
      <c r="AJ133" s="99" t="s">
        <v>4060</v>
      </c>
      <c r="AK133" s="99"/>
      <c r="AL133" s="99"/>
      <c r="AM133" s="99" t="s">
        <v>284</v>
      </c>
      <c r="AN133" s="99" t="s">
        <v>943</v>
      </c>
    </row>
    <row r="134" spans="11:43">
      <c r="Q134" s="99" t="s">
        <v>4468</v>
      </c>
      <c r="R134" s="95">
        <f>SUM(R125:R133)</f>
        <v>444547648.00000006</v>
      </c>
      <c r="S134" s="115"/>
      <c r="T134" s="169" t="s">
        <v>994</v>
      </c>
      <c r="U134" s="169">
        <v>12337</v>
      </c>
      <c r="V134" s="113">
        <v>243.16300000000001</v>
      </c>
      <c r="W134" s="113">
        <f t="shared" si="26"/>
        <v>2999901.9310000003</v>
      </c>
      <c r="X134" s="99" t="s">
        <v>4458</v>
      </c>
      <c r="AH134" s="99"/>
      <c r="AI134" s="99"/>
      <c r="AJ134" s="99"/>
      <c r="AK134" s="99"/>
      <c r="AL134" s="99"/>
      <c r="AM134" s="99"/>
      <c r="AN134" s="99"/>
    </row>
    <row r="135" spans="11:43">
      <c r="Q135" s="96"/>
      <c r="S135" s="122"/>
      <c r="T135" s="169" t="s">
        <v>4621</v>
      </c>
      <c r="U135" s="169">
        <v>-16118</v>
      </c>
      <c r="V135" s="113">
        <v>248.17</v>
      </c>
      <c r="W135" s="113">
        <f t="shared" si="26"/>
        <v>-4000004.0599999996</v>
      </c>
      <c r="X135" s="99" t="s">
        <v>751</v>
      </c>
      <c r="AH135" s="99"/>
      <c r="AI135" s="99"/>
      <c r="AJ135" s="99"/>
      <c r="AK135" s="99"/>
      <c r="AL135" s="99"/>
      <c r="AM135" s="99" t="s">
        <v>4061</v>
      </c>
      <c r="AN135" s="99">
        <v>0.02</v>
      </c>
    </row>
    <row r="136" spans="11:43">
      <c r="Q136" s="96"/>
      <c r="R136" s="184"/>
      <c r="S136" s="115"/>
      <c r="T136" s="169" t="s">
        <v>4658</v>
      </c>
      <c r="U136" s="169">
        <v>101681</v>
      </c>
      <c r="V136" s="113">
        <v>246.5711</v>
      </c>
      <c r="W136" s="113">
        <f t="shared" si="26"/>
        <v>25071596.019099999</v>
      </c>
      <c r="X136" s="99" t="s">
        <v>452</v>
      </c>
      <c r="Y136" t="s">
        <v>25</v>
      </c>
      <c r="AH136" s="99"/>
      <c r="AI136" s="99"/>
      <c r="AJ136" s="99"/>
      <c r="AK136" s="99"/>
      <c r="AL136" s="99"/>
      <c r="AM136" s="99"/>
      <c r="AN136" s="99"/>
    </row>
    <row r="137" spans="11:43">
      <c r="Q137" s="96"/>
      <c r="R137" s="184"/>
      <c r="S137" s="115"/>
      <c r="T137" s="169" t="s">
        <v>4666</v>
      </c>
      <c r="U137" s="169">
        <v>66606</v>
      </c>
      <c r="V137" s="113">
        <v>251.131</v>
      </c>
      <c r="W137" s="113">
        <f t="shared" si="26"/>
        <v>16726831.386</v>
      </c>
      <c r="X137" s="99" t="s">
        <v>751</v>
      </c>
      <c r="Y137" t="s">
        <v>25</v>
      </c>
      <c r="Z137" t="s">
        <v>25</v>
      </c>
      <c r="AH137" s="99"/>
      <c r="AI137" s="99" t="s">
        <v>4062</v>
      </c>
      <c r="AJ137" s="95">
        <f>AJ132+AN132</f>
        <v>427663531.66580647</v>
      </c>
      <c r="AK137" s="99"/>
      <c r="AL137" s="99"/>
      <c r="AM137" s="99"/>
      <c r="AN137" s="99"/>
    </row>
    <row r="138" spans="11:43">
      <c r="Q138" s="96"/>
      <c r="R138" s="115"/>
      <c r="T138" s="169" t="s">
        <v>4679</v>
      </c>
      <c r="U138" s="169">
        <v>172025</v>
      </c>
      <c r="V138" s="113">
        <v>245.52809999999999</v>
      </c>
      <c r="W138" s="113">
        <f t="shared" si="26"/>
        <v>42236971.402499996</v>
      </c>
      <c r="X138" s="99" t="s">
        <v>452</v>
      </c>
      <c r="AI138" t="s">
        <v>4065</v>
      </c>
      <c r="AJ138" s="114">
        <f>SUM(N41:N60)</f>
        <v>412577586.80000001</v>
      </c>
    </row>
    <row r="139" spans="11:43">
      <c r="T139" s="169" t="s">
        <v>4679</v>
      </c>
      <c r="U139" s="169">
        <v>189227</v>
      </c>
      <c r="V139" s="113">
        <v>245.52809999999999</v>
      </c>
      <c r="W139" s="113">
        <f t="shared" si="26"/>
        <v>46460545.778700002</v>
      </c>
      <c r="X139" s="99" t="s">
        <v>751</v>
      </c>
      <c r="AI139" t="s">
        <v>4137</v>
      </c>
      <c r="AJ139" s="114">
        <f>AJ138-AJ132</f>
        <v>6600174.8000000119</v>
      </c>
      <c r="AM139" t="s">
        <v>25</v>
      </c>
    </row>
    <row r="140" spans="11:43">
      <c r="Q140" s="99" t="s">
        <v>4458</v>
      </c>
      <c r="R140" s="99"/>
      <c r="T140" s="169" t="s">
        <v>4683</v>
      </c>
      <c r="U140" s="169">
        <v>79720</v>
      </c>
      <c r="V140" s="113">
        <v>246.6568</v>
      </c>
      <c r="W140" s="113">
        <f t="shared" si="26"/>
        <v>19663480.096000001</v>
      </c>
      <c r="X140" s="99" t="s">
        <v>452</v>
      </c>
      <c r="AI140" t="s">
        <v>943</v>
      </c>
      <c r="AJ140" s="114">
        <f>AN132</f>
        <v>21686119.66580645</v>
      </c>
    </row>
    <row r="141" spans="11:43">
      <c r="Q141" s="36" t="s">
        <v>180</v>
      </c>
      <c r="R141" s="99" t="s">
        <v>267</v>
      </c>
      <c r="T141" s="169" t="s">
        <v>4683</v>
      </c>
      <c r="U141" s="169">
        <v>79720</v>
      </c>
      <c r="V141" s="113">
        <v>246.6568</v>
      </c>
      <c r="W141" s="113">
        <f t="shared" si="26"/>
        <v>19663480.096000001</v>
      </c>
      <c r="X141" s="99" t="s">
        <v>751</v>
      </c>
      <c r="AI141" t="s">
        <v>4066</v>
      </c>
      <c r="AJ141" s="114">
        <f>AJ138-AJ137</f>
        <v>-15085944.86580646</v>
      </c>
    </row>
    <row r="142" spans="11:43">
      <c r="Q142" s="99" t="s">
        <v>4451</v>
      </c>
      <c r="R142" s="95">
        <v>3000000</v>
      </c>
      <c r="T142" s="169"/>
      <c r="U142" s="169"/>
      <c r="V142" s="113"/>
      <c r="W142" s="113"/>
      <c r="X142" s="99"/>
      <c r="AM142" t="s">
        <v>25</v>
      </c>
    </row>
    <row r="143" spans="11:43">
      <c r="Q143" s="99" t="s">
        <v>4506</v>
      </c>
      <c r="R143" s="95">
        <v>2000000</v>
      </c>
      <c r="T143" s="169"/>
      <c r="U143" s="169"/>
      <c r="V143" s="113"/>
      <c r="W143" s="113">
        <f t="shared" si="26"/>
        <v>0</v>
      </c>
      <c r="X143" s="99"/>
      <c r="AJ143" t="s">
        <v>25</v>
      </c>
    </row>
    <row r="144" spans="11:43">
      <c r="Q144" s="99" t="s">
        <v>4516</v>
      </c>
      <c r="R144" s="95">
        <v>1000000</v>
      </c>
      <c r="T144" s="169"/>
      <c r="U144" s="169">
        <f>SUM(U125:U143)</f>
        <v>1804620</v>
      </c>
      <c r="V144" s="99"/>
      <c r="W144" s="99"/>
      <c r="X144" s="99"/>
    </row>
    <row r="145" spans="17:44">
      <c r="Q145" s="99" t="s">
        <v>4524</v>
      </c>
      <c r="R145" s="95">
        <v>2000000</v>
      </c>
      <c r="T145" s="99"/>
      <c r="U145" s="99" t="s">
        <v>6</v>
      </c>
      <c r="V145" s="99"/>
      <c r="W145" s="99"/>
      <c r="X145" s="99"/>
    </row>
    <row r="146" spans="17:44">
      <c r="Q146" s="99" t="s">
        <v>994</v>
      </c>
      <c r="R146" s="95">
        <v>3000000</v>
      </c>
      <c r="T146" s="204" t="s">
        <v>4495</v>
      </c>
      <c r="AR146" t="s">
        <v>25</v>
      </c>
    </row>
    <row r="147" spans="17:44">
      <c r="Q147" s="99"/>
      <c r="R147" s="95"/>
      <c r="T147" s="203">
        <f>R134/U144</f>
        <v>246.33864636322332</v>
      </c>
    </row>
    <row r="148" spans="17:44">
      <c r="Q148" s="99"/>
      <c r="R148" s="95">
        <f>SUM(R142:R146)</f>
        <v>11000000</v>
      </c>
      <c r="W148" s="114"/>
      <c r="AH148" s="99" t="s">
        <v>3642</v>
      </c>
      <c r="AI148" s="99" t="s">
        <v>180</v>
      </c>
      <c r="AJ148" s="99" t="s">
        <v>267</v>
      </c>
      <c r="AK148" s="99" t="s">
        <v>4059</v>
      </c>
      <c r="AL148" s="99" t="s">
        <v>4051</v>
      </c>
      <c r="AM148" s="99" t="s">
        <v>282</v>
      </c>
      <c r="AN148" s="99" t="s">
        <v>4294</v>
      </c>
    </row>
    <row r="149" spans="17:44">
      <c r="Q149" s="99"/>
      <c r="R149" s="99" t="s">
        <v>6</v>
      </c>
      <c r="U149" s="96" t="s">
        <v>267</v>
      </c>
      <c r="V149" t="s">
        <v>4496</v>
      </c>
      <c r="AH149" s="99">
        <v>1</v>
      </c>
      <c r="AI149" s="99" t="s">
        <v>3950</v>
      </c>
      <c r="AJ149" s="117">
        <v>3555820</v>
      </c>
      <c r="AK149" s="99">
        <v>2</v>
      </c>
      <c r="AL149" s="99">
        <f>AK149+AL150</f>
        <v>187</v>
      </c>
      <c r="AM149" s="99">
        <f>AJ149*AL149</f>
        <v>664938340</v>
      </c>
      <c r="AN149" s="99" t="s">
        <v>4317</v>
      </c>
    </row>
    <row r="150" spans="17:44">
      <c r="U150" s="113">
        <v>19663646</v>
      </c>
      <c r="V150">
        <f>U150/T147</f>
        <v>79823.63421371649</v>
      </c>
      <c r="X150" t="s">
        <v>25</v>
      </c>
      <c r="AH150" s="99">
        <v>2</v>
      </c>
      <c r="AI150" s="99" t="s">
        <v>4025</v>
      </c>
      <c r="AJ150" s="117">
        <v>1720837</v>
      </c>
      <c r="AK150" s="99">
        <v>51</v>
      </c>
      <c r="AL150" s="99">
        <f t="shared" ref="AL150:AL159" si="27">AK150+AL151</f>
        <v>185</v>
      </c>
      <c r="AM150" s="99">
        <f t="shared" ref="AM150:AM179" si="28">AJ150*AL150</f>
        <v>318354845</v>
      </c>
      <c r="AN150" s="99" t="s">
        <v>4318</v>
      </c>
    </row>
    <row r="151" spans="17:44">
      <c r="Q151" s="96"/>
      <c r="R151" s="96"/>
      <c r="X151" t="s">
        <v>25</v>
      </c>
      <c r="AH151" s="99">
        <v>3</v>
      </c>
      <c r="AI151" s="99" t="s">
        <v>4131</v>
      </c>
      <c r="AJ151" s="117">
        <v>150000</v>
      </c>
      <c r="AK151" s="99">
        <v>3</v>
      </c>
      <c r="AL151" s="99">
        <f t="shared" si="27"/>
        <v>134</v>
      </c>
      <c r="AM151" s="99">
        <f t="shared" si="28"/>
        <v>20100000</v>
      </c>
      <c r="AN151" s="99"/>
    </row>
    <row r="152" spans="17:44">
      <c r="Q152" s="96"/>
      <c r="R152" s="96"/>
      <c r="AH152" s="99">
        <v>4</v>
      </c>
      <c r="AI152" s="99" t="s">
        <v>4146</v>
      </c>
      <c r="AJ152" s="117">
        <v>-95000</v>
      </c>
      <c r="AK152" s="99">
        <v>8</v>
      </c>
      <c r="AL152" s="99">
        <f t="shared" si="27"/>
        <v>131</v>
      </c>
      <c r="AM152" s="99">
        <f t="shared" si="28"/>
        <v>-12445000</v>
      </c>
      <c r="AN152" s="99"/>
    </row>
    <row r="153" spans="17:44">
      <c r="AH153" s="99">
        <v>5</v>
      </c>
      <c r="AI153" s="99" t="s">
        <v>4173</v>
      </c>
      <c r="AJ153" s="117">
        <v>3150000</v>
      </c>
      <c r="AK153" s="99">
        <v>16</v>
      </c>
      <c r="AL153" s="99">
        <f t="shared" si="27"/>
        <v>123</v>
      </c>
      <c r="AM153" s="99">
        <f t="shared" si="28"/>
        <v>387450000</v>
      </c>
      <c r="AN153" s="99"/>
    </row>
    <row r="154" spans="17:44">
      <c r="Q154" s="99" t="s">
        <v>751</v>
      </c>
      <c r="R154" s="99"/>
      <c r="AH154" s="99">
        <v>6</v>
      </c>
      <c r="AI154" s="99" t="s">
        <v>4242</v>
      </c>
      <c r="AJ154" s="117">
        <v>-65000</v>
      </c>
      <c r="AK154" s="99">
        <v>1</v>
      </c>
      <c r="AL154" s="99">
        <f t="shared" si="27"/>
        <v>107</v>
      </c>
      <c r="AM154" s="99">
        <f t="shared" si="28"/>
        <v>-6955000</v>
      </c>
      <c r="AN154" s="99"/>
    </row>
    <row r="155" spans="17:44" ht="60">
      <c r="Q155" s="99" t="s">
        <v>4451</v>
      </c>
      <c r="R155" s="95">
        <v>172908000</v>
      </c>
      <c r="T155" s="22" t="s">
        <v>4479</v>
      </c>
      <c r="AH155" s="99">
        <v>7</v>
      </c>
      <c r="AI155" s="99" t="s">
        <v>4319</v>
      </c>
      <c r="AJ155" s="117">
        <v>-95000</v>
      </c>
      <c r="AK155" s="99">
        <v>6</v>
      </c>
      <c r="AL155" s="99">
        <f t="shared" si="27"/>
        <v>106</v>
      </c>
      <c r="AM155" s="99">
        <f t="shared" si="28"/>
        <v>-10070000</v>
      </c>
      <c r="AN155" s="99"/>
    </row>
    <row r="156" spans="17:44" ht="45">
      <c r="Q156" s="99" t="s">
        <v>4492</v>
      </c>
      <c r="R156" s="95">
        <v>1400000</v>
      </c>
      <c r="T156" s="22" t="s">
        <v>4480</v>
      </c>
      <c r="AH156" s="99">
        <v>8</v>
      </c>
      <c r="AI156" s="99" t="s">
        <v>4320</v>
      </c>
      <c r="AJ156" s="117">
        <v>232000</v>
      </c>
      <c r="AK156" s="99">
        <v>7</v>
      </c>
      <c r="AL156" s="99">
        <f t="shared" si="27"/>
        <v>100</v>
      </c>
      <c r="AM156" s="99">
        <f t="shared" si="28"/>
        <v>23200000</v>
      </c>
      <c r="AN156" s="99"/>
    </row>
    <row r="157" spans="17:44">
      <c r="Q157" s="99" t="s">
        <v>4233</v>
      </c>
      <c r="R157" s="95">
        <v>247393</v>
      </c>
      <c r="AH157" s="99">
        <v>9</v>
      </c>
      <c r="AI157" s="99" t="s">
        <v>4293</v>
      </c>
      <c r="AJ157" s="117">
        <v>13000000</v>
      </c>
      <c r="AK157" s="99">
        <v>2</v>
      </c>
      <c r="AL157" s="99">
        <f t="shared" si="27"/>
        <v>93</v>
      </c>
      <c r="AM157" s="99">
        <f t="shared" si="28"/>
        <v>1209000000</v>
      </c>
      <c r="AN157" s="99"/>
    </row>
    <row r="158" spans="17:44">
      <c r="Q158" s="99" t="s">
        <v>4232</v>
      </c>
      <c r="R158" s="95">
        <v>6780000</v>
      </c>
      <c r="AH158" s="99">
        <v>10</v>
      </c>
      <c r="AI158" s="99" t="s">
        <v>4321</v>
      </c>
      <c r="AJ158" s="117">
        <v>10000000</v>
      </c>
      <c r="AK158" s="99">
        <v>3</v>
      </c>
      <c r="AL158" s="99">
        <f t="shared" si="27"/>
        <v>91</v>
      </c>
      <c r="AM158" s="99">
        <f t="shared" si="28"/>
        <v>910000000</v>
      </c>
      <c r="AN158" s="99"/>
    </row>
    <row r="159" spans="17:44">
      <c r="Q159" s="99" t="s">
        <v>4621</v>
      </c>
      <c r="R159" s="95">
        <v>-4000000</v>
      </c>
      <c r="T159" s="99" t="s">
        <v>4497</v>
      </c>
      <c r="U159" s="99" t="s">
        <v>4468</v>
      </c>
      <c r="V159" s="99" t="s">
        <v>953</v>
      </c>
      <c r="AH159" s="99">
        <v>11</v>
      </c>
      <c r="AI159" s="99" t="s">
        <v>4306</v>
      </c>
      <c r="AJ159" s="117">
        <v>3400000</v>
      </c>
      <c r="AK159" s="99">
        <v>9</v>
      </c>
      <c r="AL159" s="99">
        <f t="shared" si="27"/>
        <v>88</v>
      </c>
      <c r="AM159" s="99">
        <f t="shared" si="28"/>
        <v>299200000</v>
      </c>
      <c r="AN159" s="99"/>
    </row>
    <row r="160" spans="17:44">
      <c r="Q160" s="99" t="s">
        <v>4666</v>
      </c>
      <c r="R160" s="95">
        <v>16727037</v>
      </c>
      <c r="T160" s="95">
        <f>R148+R164+R176</f>
        <v>436843001</v>
      </c>
      <c r="U160" s="95">
        <f>R134</f>
        <v>444547648.00000006</v>
      </c>
      <c r="V160" s="95">
        <f>U160-T160</f>
        <v>7704647.0000000596</v>
      </c>
      <c r="AH160" s="99">
        <v>12</v>
      </c>
      <c r="AI160" s="99" t="s">
        <v>4353</v>
      </c>
      <c r="AJ160" s="117">
        <v>-8736514</v>
      </c>
      <c r="AK160" s="99">
        <v>1</v>
      </c>
      <c r="AL160" s="99">
        <f>AK160+AL161</f>
        <v>79</v>
      </c>
      <c r="AM160" s="99">
        <f t="shared" si="28"/>
        <v>-690184606</v>
      </c>
      <c r="AN160" s="99"/>
    </row>
    <row r="161" spans="17:40">
      <c r="Q161" s="99" t="s">
        <v>4679</v>
      </c>
      <c r="R161" s="95">
        <v>46460683</v>
      </c>
      <c r="AH161" s="99">
        <v>13</v>
      </c>
      <c r="AI161" s="99" t="s">
        <v>4354</v>
      </c>
      <c r="AJ161" s="117">
        <v>555000</v>
      </c>
      <c r="AK161" s="99">
        <v>5</v>
      </c>
      <c r="AL161" s="99">
        <f t="shared" ref="AL161:AL179" si="29">AK161+AL162</f>
        <v>78</v>
      </c>
      <c r="AM161" s="99">
        <f t="shared" si="28"/>
        <v>43290000</v>
      </c>
      <c r="AN161" s="99"/>
    </row>
    <row r="162" spans="17:40">
      <c r="Q162" s="99" t="s">
        <v>4683</v>
      </c>
      <c r="R162" s="95">
        <v>19663646</v>
      </c>
      <c r="AH162" s="99">
        <v>14</v>
      </c>
      <c r="AI162" s="99" t="s">
        <v>4378</v>
      </c>
      <c r="AJ162" s="117">
        <v>-448308</v>
      </c>
      <c r="AK162" s="99">
        <v>6</v>
      </c>
      <c r="AL162" s="99">
        <f t="shared" si="29"/>
        <v>73</v>
      </c>
      <c r="AM162" s="99">
        <f t="shared" si="28"/>
        <v>-32726484</v>
      </c>
      <c r="AN162" s="99"/>
    </row>
    <row r="163" spans="17:40">
      <c r="Q163" s="99"/>
      <c r="R163" s="95"/>
      <c r="AH163" s="99">
        <v>15</v>
      </c>
      <c r="AI163" s="99" t="s">
        <v>4410</v>
      </c>
      <c r="AJ163" s="117">
        <v>33225</v>
      </c>
      <c r="AK163" s="99">
        <v>0</v>
      </c>
      <c r="AL163" s="99">
        <f t="shared" si="29"/>
        <v>67</v>
      </c>
      <c r="AM163" s="99">
        <f t="shared" si="28"/>
        <v>2226075</v>
      </c>
      <c r="AN163" s="99"/>
    </row>
    <row r="164" spans="17:40">
      <c r="Q164" s="99"/>
      <c r="R164" s="95">
        <f>SUM(R155:R162)</f>
        <v>260186759</v>
      </c>
      <c r="AH164" s="149">
        <v>16</v>
      </c>
      <c r="AI164" s="149" t="s">
        <v>4410</v>
      </c>
      <c r="AJ164" s="191">
        <v>4098523</v>
      </c>
      <c r="AK164" s="149">
        <v>2</v>
      </c>
      <c r="AL164" s="149">
        <f t="shared" si="29"/>
        <v>67</v>
      </c>
      <c r="AM164" s="149">
        <f t="shared" si="28"/>
        <v>274601041</v>
      </c>
      <c r="AN164" s="149" t="s">
        <v>657</v>
      </c>
    </row>
    <row r="165" spans="17:40">
      <c r="Q165" s="99"/>
      <c r="R165" s="99" t="s">
        <v>6</v>
      </c>
      <c r="S165" t="s">
        <v>25</v>
      </c>
      <c r="AH165" s="149">
        <v>17</v>
      </c>
      <c r="AI165" s="149" t="s">
        <v>4424</v>
      </c>
      <c r="AJ165" s="191">
        <v>-1000000</v>
      </c>
      <c r="AK165" s="149">
        <v>7</v>
      </c>
      <c r="AL165" s="149">
        <f t="shared" si="29"/>
        <v>65</v>
      </c>
      <c r="AM165" s="149">
        <f t="shared" si="28"/>
        <v>-65000000</v>
      </c>
      <c r="AN165" s="149" t="s">
        <v>657</v>
      </c>
    </row>
    <row r="166" spans="17:40">
      <c r="AH166" s="149">
        <v>18</v>
      </c>
      <c r="AI166" s="149" t="s">
        <v>4447</v>
      </c>
      <c r="AJ166" s="191">
        <v>750000</v>
      </c>
      <c r="AK166" s="149">
        <v>1</v>
      </c>
      <c r="AL166" s="149">
        <f t="shared" si="29"/>
        <v>58</v>
      </c>
      <c r="AM166" s="149">
        <f t="shared" si="28"/>
        <v>43500000</v>
      </c>
      <c r="AN166" s="149" t="s">
        <v>657</v>
      </c>
    </row>
    <row r="167" spans="17:40">
      <c r="AH167" s="199">
        <v>19</v>
      </c>
      <c r="AI167" s="199" t="s">
        <v>4449</v>
      </c>
      <c r="AJ167" s="200">
        <v>-604152</v>
      </c>
      <c r="AK167" s="199">
        <v>0</v>
      </c>
      <c r="AL167" s="199">
        <f t="shared" si="29"/>
        <v>57</v>
      </c>
      <c r="AM167" s="199">
        <f t="shared" si="28"/>
        <v>-34436664</v>
      </c>
      <c r="AN167" s="199" t="s">
        <v>657</v>
      </c>
    </row>
    <row r="168" spans="17:40">
      <c r="Q168" s="99" t="s">
        <v>452</v>
      </c>
      <c r="R168" s="99"/>
      <c r="T168" t="s">
        <v>25</v>
      </c>
      <c r="AH168" s="99">
        <v>20</v>
      </c>
      <c r="AI168" s="99" t="s">
        <v>4450</v>
      </c>
      <c r="AJ168" s="117">
        <v>-587083</v>
      </c>
      <c r="AK168" s="99">
        <v>4</v>
      </c>
      <c r="AL168" s="99">
        <f t="shared" si="29"/>
        <v>57</v>
      </c>
      <c r="AM168" s="99">
        <f t="shared" si="28"/>
        <v>-33463731</v>
      </c>
      <c r="AN168" s="99"/>
    </row>
    <row r="169" spans="17:40">
      <c r="Q169" s="99" t="s">
        <v>4451</v>
      </c>
      <c r="R169" s="95">
        <v>63115000</v>
      </c>
      <c r="S169" t="s">
        <v>25</v>
      </c>
      <c r="AH169" s="199">
        <v>21</v>
      </c>
      <c r="AI169" s="199" t="s">
        <v>4451</v>
      </c>
      <c r="AJ169" s="200">
        <v>-754351</v>
      </c>
      <c r="AK169" s="199">
        <v>0</v>
      </c>
      <c r="AL169" s="149">
        <f t="shared" si="29"/>
        <v>53</v>
      </c>
      <c r="AM169" s="199">
        <f t="shared" si="28"/>
        <v>-39980603</v>
      </c>
      <c r="AN169" s="199" t="s">
        <v>657</v>
      </c>
    </row>
    <row r="170" spans="17:40">
      <c r="Q170" s="99" t="s">
        <v>4506</v>
      </c>
      <c r="R170" s="95">
        <v>13300000</v>
      </c>
      <c r="AH170" s="99">
        <v>22</v>
      </c>
      <c r="AI170" s="99" t="s">
        <v>4451</v>
      </c>
      <c r="AJ170" s="117">
        <v>-189619</v>
      </c>
      <c r="AK170" s="99">
        <v>15</v>
      </c>
      <c r="AL170" s="99">
        <f t="shared" si="29"/>
        <v>53</v>
      </c>
      <c r="AM170" s="99">
        <f t="shared" si="28"/>
        <v>-10049807</v>
      </c>
      <c r="AN170" s="99"/>
    </row>
    <row r="171" spans="17:40">
      <c r="Q171" s="99" t="s">
        <v>4516</v>
      </c>
      <c r="R171" s="95">
        <v>2269000</v>
      </c>
      <c r="AH171" s="199">
        <v>23</v>
      </c>
      <c r="AI171" s="199" t="s">
        <v>4528</v>
      </c>
      <c r="AJ171" s="191">
        <v>7100</v>
      </c>
      <c r="AK171" s="199">
        <v>0</v>
      </c>
      <c r="AL171" s="149">
        <f t="shared" si="29"/>
        <v>38</v>
      </c>
      <c r="AM171" s="199">
        <f t="shared" si="28"/>
        <v>269800</v>
      </c>
      <c r="AN171" s="199" t="s">
        <v>657</v>
      </c>
    </row>
    <row r="172" spans="17:40">
      <c r="Q172" s="99" t="s">
        <v>4658</v>
      </c>
      <c r="R172" s="95">
        <v>25071612</v>
      </c>
      <c r="AH172" s="20">
        <v>24</v>
      </c>
      <c r="AI172" s="20" t="s">
        <v>4528</v>
      </c>
      <c r="AJ172" s="117">
        <v>-147902</v>
      </c>
      <c r="AK172" s="20">
        <v>3</v>
      </c>
      <c r="AL172" s="99">
        <f t="shared" si="29"/>
        <v>38</v>
      </c>
      <c r="AM172" s="20">
        <f t="shared" si="28"/>
        <v>-5620276</v>
      </c>
      <c r="AN172" s="20"/>
    </row>
    <row r="173" spans="17:40">
      <c r="Q173" s="99" t="s">
        <v>4679</v>
      </c>
      <c r="R173" s="95">
        <v>42236984</v>
      </c>
      <c r="AH173" s="149">
        <v>25</v>
      </c>
      <c r="AI173" s="149" t="s">
        <v>4536</v>
      </c>
      <c r="AJ173" s="191">
        <v>-37200</v>
      </c>
      <c r="AK173" s="149">
        <v>4</v>
      </c>
      <c r="AL173" s="149">
        <f t="shared" si="29"/>
        <v>35</v>
      </c>
      <c r="AM173" s="199">
        <f t="shared" si="28"/>
        <v>-1302000</v>
      </c>
      <c r="AN173" s="149" t="s">
        <v>657</v>
      </c>
    </row>
    <row r="174" spans="17:40">
      <c r="Q174" s="99" t="s">
        <v>4683</v>
      </c>
      <c r="R174" s="95">
        <v>19663646</v>
      </c>
      <c r="AH174" s="99">
        <v>26</v>
      </c>
      <c r="AI174" s="99" t="s">
        <v>4569</v>
      </c>
      <c r="AJ174" s="117">
        <v>-372326</v>
      </c>
      <c r="AK174" s="99">
        <v>21</v>
      </c>
      <c r="AL174" s="99">
        <f t="shared" si="29"/>
        <v>31</v>
      </c>
      <c r="AM174" s="20">
        <f t="shared" si="28"/>
        <v>-11542106</v>
      </c>
      <c r="AN174" s="99"/>
    </row>
    <row r="175" spans="17:40">
      <c r="Q175" s="99"/>
      <c r="R175" s="95"/>
      <c r="AH175" s="99">
        <v>27</v>
      </c>
      <c r="AI175" s="99" t="s">
        <v>4637</v>
      </c>
      <c r="AJ175" s="117">
        <v>235062</v>
      </c>
      <c r="AK175" s="99">
        <v>0</v>
      </c>
      <c r="AL175" s="99">
        <f t="shared" si="29"/>
        <v>10</v>
      </c>
      <c r="AM175" s="20">
        <f t="shared" si="28"/>
        <v>2350620</v>
      </c>
      <c r="AN175" s="99"/>
    </row>
    <row r="176" spans="17:40">
      <c r="Q176" s="99"/>
      <c r="R176" s="95">
        <f>SUM(R169:R174)</f>
        <v>165656242</v>
      </c>
      <c r="T176" t="s">
        <v>25</v>
      </c>
      <c r="AH176" s="149">
        <v>28</v>
      </c>
      <c r="AI176" s="149" t="s">
        <v>4637</v>
      </c>
      <c r="AJ176" s="191">
        <v>235062</v>
      </c>
      <c r="AK176" s="149">
        <v>9</v>
      </c>
      <c r="AL176" s="99">
        <f t="shared" si="29"/>
        <v>10</v>
      </c>
      <c r="AM176" s="149">
        <f t="shared" si="28"/>
        <v>2350620</v>
      </c>
      <c r="AN176" s="149" t="s">
        <v>657</v>
      </c>
    </row>
    <row r="177" spans="17:44">
      <c r="Q177" s="99"/>
      <c r="R177" s="99" t="s">
        <v>6</v>
      </c>
      <c r="AH177" s="149">
        <v>29</v>
      </c>
      <c r="AI177" s="149" t="s">
        <v>4683</v>
      </c>
      <c r="AJ177" s="191">
        <v>450000</v>
      </c>
      <c r="AK177" s="149">
        <v>0</v>
      </c>
      <c r="AL177" s="99">
        <f t="shared" si="29"/>
        <v>1</v>
      </c>
      <c r="AM177" s="149">
        <f t="shared" si="28"/>
        <v>450000</v>
      </c>
      <c r="AN177" s="149" t="s">
        <v>657</v>
      </c>
    </row>
    <row r="178" spans="17:44">
      <c r="AH178" s="20">
        <v>30</v>
      </c>
      <c r="AI178" s="20" t="s">
        <v>4683</v>
      </c>
      <c r="AJ178" s="117">
        <v>450000</v>
      </c>
      <c r="AK178" s="20">
        <v>1</v>
      </c>
      <c r="AL178" s="99">
        <f t="shared" si="29"/>
        <v>1</v>
      </c>
      <c r="AM178" s="20">
        <f t="shared" si="28"/>
        <v>450000</v>
      </c>
      <c r="AN178" s="20"/>
    </row>
    <row r="179" spans="17:44">
      <c r="AH179" s="99"/>
      <c r="AI179" s="99"/>
      <c r="AJ179" s="117"/>
      <c r="AK179" s="99"/>
      <c r="AL179" s="99">
        <f t="shared" si="29"/>
        <v>0</v>
      </c>
      <c r="AM179" s="20">
        <f t="shared" si="28"/>
        <v>0</v>
      </c>
      <c r="AN179" s="99"/>
    </row>
    <row r="180" spans="17:44">
      <c r="T180" t="s">
        <v>25</v>
      </c>
      <c r="AH180" s="99"/>
      <c r="AI180" s="99"/>
      <c r="AJ180" s="117"/>
      <c r="AK180" s="99"/>
      <c r="AL180" s="99"/>
      <c r="AM180" s="99"/>
      <c r="AN180" s="99"/>
      <c r="AR180" t="s">
        <v>25</v>
      </c>
    </row>
    <row r="181" spans="17:44">
      <c r="AH181" s="99"/>
      <c r="AI181" s="99"/>
      <c r="AJ181" s="95">
        <f>SUM(AJ149:AJ180)</f>
        <v>28890174</v>
      </c>
      <c r="AK181" s="99"/>
      <c r="AL181" s="99"/>
      <c r="AM181" s="99">
        <f>SUM(AM149:AM180)</f>
        <v>3247955064</v>
      </c>
      <c r="AN181" s="95">
        <f>AM181*AN135/31</f>
        <v>2095454.8800000001</v>
      </c>
    </row>
    <row r="182" spans="17:44">
      <c r="AJ182" t="s">
        <v>4060</v>
      </c>
      <c r="AM182" t="s">
        <v>284</v>
      </c>
      <c r="AN182" t="s">
        <v>943</v>
      </c>
    </row>
    <row r="184" spans="17:44">
      <c r="AI184" t="s">
        <v>4062</v>
      </c>
      <c r="AJ184" s="114">
        <f>AJ181+AN181</f>
        <v>30985628.879999999</v>
      </c>
    </row>
    <row r="185" spans="17:44">
      <c r="AI185" t="s">
        <v>4065</v>
      </c>
      <c r="AJ185" s="114">
        <f>SUM(N20:N30)</f>
        <v>29226140.200000007</v>
      </c>
    </row>
    <row r="186" spans="17:44">
      <c r="AI186" t="s">
        <v>4137</v>
      </c>
      <c r="AJ186" s="114">
        <f>AJ185-AJ181</f>
        <v>335966.20000000671</v>
      </c>
    </row>
    <row r="187" spans="17:44">
      <c r="AI187" t="s">
        <v>943</v>
      </c>
      <c r="AJ187" s="114">
        <f>AN181</f>
        <v>2095454.8800000001</v>
      </c>
    </row>
    <row r="188" spans="17:44">
      <c r="AI188" t="s">
        <v>4066</v>
      </c>
      <c r="AJ188" s="114">
        <f>AJ186-AJ187</f>
        <v>-1759488.6799999934</v>
      </c>
      <c r="AN188" t="s">
        <v>25</v>
      </c>
    </row>
    <row r="189" spans="17:44">
      <c r="AN18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30 S28 P22 U112 S78:S79 S86 S92:S94 S9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"/>
  <sheetViews>
    <sheetView topLeftCell="J14" workbookViewId="0">
      <selection activeCell="X34" sqref="X34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4692</v>
      </c>
      <c r="AE1" s="169" t="s">
        <v>4693</v>
      </c>
    </row>
    <row r="2" spans="1:31">
      <c r="A2" s="99" t="s">
        <v>4244</v>
      </c>
      <c r="B2" s="207">
        <v>1707</v>
      </c>
      <c r="C2" s="209" t="s">
        <v>4643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4611</v>
      </c>
      <c r="B3" s="207">
        <v>1184</v>
      </c>
      <c r="C3" s="209" t="s">
        <v>4618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4612</v>
      </c>
      <c r="B4" s="207">
        <v>1804</v>
      </c>
      <c r="C4" s="209" t="s">
        <v>4619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4650</v>
      </c>
      <c r="L5" s="113">
        <v>0</v>
      </c>
      <c r="M5" s="169">
        <v>3</v>
      </c>
      <c r="N5" s="113">
        <f t="shared" ref="N5" si="3">L5*M5</f>
        <v>0</v>
      </c>
      <c r="O5" s="99" t="s">
        <v>4657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4658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4666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4584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4666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4666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4669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4679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4666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4670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4605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4679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4666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4655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4683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4666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4671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4683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4666</v>
      </c>
      <c r="X11" s="169" t="s">
        <v>1086</v>
      </c>
      <c r="Y11" s="113">
        <v>4183832</v>
      </c>
      <c r="Z11" s="169">
        <f t="shared" si="4"/>
        <v>3.2966189847011065</v>
      </c>
      <c r="AA11" s="221" t="s">
        <v>4551</v>
      </c>
      <c r="AB11" s="113">
        <v>4500</v>
      </c>
      <c r="AC11" s="169">
        <v>3065</v>
      </c>
      <c r="AD11" s="221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-445161</v>
      </c>
      <c r="C12" s="170"/>
      <c r="D12" s="59" t="s">
        <v>4687</v>
      </c>
      <c r="F12" s="114">
        <v>0</v>
      </c>
      <c r="G12" t="s">
        <v>25</v>
      </c>
      <c r="J12" s="169"/>
      <c r="K12" s="169"/>
      <c r="L12" s="113"/>
      <c r="M12" s="169"/>
      <c r="N12" s="113"/>
      <c r="O12" s="99"/>
      <c r="P12" s="96"/>
      <c r="Q12" s="96"/>
      <c r="R12" s="96"/>
      <c r="S12" s="96"/>
      <c r="W12" s="169" t="s">
        <v>4679</v>
      </c>
      <c r="X12" s="169" t="s">
        <v>1086</v>
      </c>
      <c r="Y12" s="113">
        <v>4186993</v>
      </c>
      <c r="Z12" s="169">
        <f t="shared" si="4"/>
        <v>0.95852522323299805</v>
      </c>
      <c r="AA12" s="219" t="s">
        <v>4397</v>
      </c>
      <c r="AB12" s="113">
        <v>3322.3</v>
      </c>
      <c r="AC12" s="169">
        <v>1208</v>
      </c>
      <c r="AD12" s="21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/>
      <c r="K13" s="169"/>
      <c r="L13" s="113" t="s">
        <v>25</v>
      </c>
      <c r="M13" s="169"/>
      <c r="N13" s="113"/>
      <c r="O13" s="99"/>
      <c r="P13" s="96"/>
      <c r="Q13" s="96"/>
      <c r="R13" s="96"/>
      <c r="S13" s="96"/>
      <c r="W13" s="169" t="s">
        <v>4679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69"/>
      <c r="M14" s="169">
        <f>SUM(M2:M11)</f>
        <v>59</v>
      </c>
      <c r="N14" s="113">
        <f>SUM(N2:N5)</f>
        <v>64860000</v>
      </c>
      <c r="O14" s="99"/>
      <c r="W14" s="169" t="s">
        <v>4683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-445161</v>
      </c>
      <c r="J15" s="169"/>
      <c r="K15" s="169"/>
      <c r="L15" s="169"/>
      <c r="M15" s="169" t="s">
        <v>6</v>
      </c>
      <c r="N15" s="169"/>
      <c r="O15" s="99"/>
      <c r="W15" s="169" t="s">
        <v>4683</v>
      </c>
      <c r="X15" s="169" t="s">
        <v>1086</v>
      </c>
      <c r="Y15" s="113">
        <v>4223698</v>
      </c>
      <c r="Z15" s="169">
        <f t="shared" si="4"/>
        <v>9.4380816762940896</v>
      </c>
      <c r="AA15" s="222" t="s">
        <v>4416</v>
      </c>
      <c r="AB15" s="113">
        <v>498.9</v>
      </c>
      <c r="AC15" s="169">
        <v>79903</v>
      </c>
      <c r="AD15" s="222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M16" s="113">
        <f>N14/M14</f>
        <v>1099322.0338983051</v>
      </c>
      <c r="W16" s="169" t="s">
        <v>4703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4645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M17" s="41" t="s">
        <v>4537</v>
      </c>
      <c r="N17" t="s">
        <v>25</v>
      </c>
      <c r="W17" s="169" t="s">
        <v>4703</v>
      </c>
      <c r="X17" s="169" t="s">
        <v>1086</v>
      </c>
      <c r="Y17" s="113">
        <v>4369699</v>
      </c>
      <c r="Z17" s="169">
        <f t="shared" si="4"/>
        <v>8.608136716052984</v>
      </c>
      <c r="AA17" s="220" t="s">
        <v>4401</v>
      </c>
      <c r="AB17" s="113">
        <v>5393.6</v>
      </c>
      <c r="AC17" s="169">
        <v>6974</v>
      </c>
      <c r="AD17" s="220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L20">
        <f>140-M14</f>
        <v>81</v>
      </c>
      <c r="M20">
        <f>75-M2-M4-M5-M7-M9-M10</f>
        <v>40.5</v>
      </c>
      <c r="N20" t="s">
        <v>483</v>
      </c>
      <c r="O20" t="s">
        <v>4698</v>
      </c>
    </row>
    <row r="21" spans="1:31">
      <c r="A21" s="99"/>
      <c r="B21" s="207"/>
      <c r="C21" s="170">
        <v>3845000</v>
      </c>
      <c r="D21" s="99" t="s">
        <v>4506</v>
      </c>
      <c r="M21">
        <f>65-M3-M6-M8-M11</f>
        <v>40.5</v>
      </c>
      <c r="N21" t="s">
        <v>5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</row>
    <row r="23" spans="1:31">
      <c r="A23" s="99"/>
      <c r="B23" s="207"/>
      <c r="C23" s="170">
        <v>3845000</v>
      </c>
      <c r="D23" s="99" t="s">
        <v>4506</v>
      </c>
      <c r="W23" s="32" t="s">
        <v>4555</v>
      </c>
      <c r="X23" s="32" t="s">
        <v>4712</v>
      </c>
      <c r="Y23" s="32" t="s">
        <v>4713</v>
      </c>
      <c r="Z23" s="169" t="s">
        <v>4714</v>
      </c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32" t="s">
        <v>4244</v>
      </c>
      <c r="X24" s="1">
        <v>300000000</v>
      </c>
      <c r="Y24" s="1">
        <f>'برنامه 5 ساله'!N21+'برنامه 5 ساله'!N30+'برنامه 5 ساله'!N44</f>
        <v>232424268.59999999</v>
      </c>
      <c r="Z24" s="113">
        <f>X24-Y24</f>
        <v>67575731.400000006</v>
      </c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M25" s="41"/>
      <c r="N25" s="41"/>
      <c r="O25" s="169" t="s">
        <v>4548</v>
      </c>
      <c r="P25" s="169" t="s">
        <v>1086</v>
      </c>
      <c r="Q25" s="169" t="s">
        <v>4244</v>
      </c>
      <c r="R25" s="169" t="s">
        <v>4565</v>
      </c>
      <c r="S25" s="169"/>
      <c r="W25" s="32" t="s">
        <v>4401</v>
      </c>
      <c r="X25" s="1">
        <v>190000000</v>
      </c>
      <c r="Y25" s="1">
        <f>'برنامه 5 ساله'!N25+'برنامه 5 ساله'!N46</f>
        <v>105195247.2</v>
      </c>
      <c r="Z25" s="113">
        <f>X25-Y25</f>
        <v>84804752.799999997</v>
      </c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M26" s="41"/>
      <c r="N26" s="41"/>
      <c r="O26" s="169" t="s">
        <v>4536</v>
      </c>
      <c r="P26" s="169">
        <v>3390000</v>
      </c>
      <c r="Q26" s="169">
        <v>161.4</v>
      </c>
      <c r="R26" s="169">
        <f>P26/Q26</f>
        <v>21003.717472118959</v>
      </c>
      <c r="S26" s="169"/>
      <c r="W26" s="32" t="s">
        <v>4397</v>
      </c>
      <c r="X26" s="1">
        <v>120000000</v>
      </c>
      <c r="Y26" s="1">
        <f>'برنامه 5 ساله'!N43</f>
        <v>14447613.299999999</v>
      </c>
      <c r="Z26" s="113">
        <f>X26-Y26</f>
        <v>105552386.7</v>
      </c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M27" s="41"/>
      <c r="N27" s="41"/>
      <c r="O27" s="169"/>
      <c r="P27" s="169"/>
      <c r="Q27" s="169"/>
      <c r="R27" s="169"/>
      <c r="S27" s="169"/>
      <c r="W27" s="32" t="s">
        <v>4416</v>
      </c>
      <c r="X27" s="1">
        <v>100000000</v>
      </c>
      <c r="Y27" s="1">
        <f>'برنامه 5 ساله'!N47</f>
        <v>41030704</v>
      </c>
      <c r="Z27" s="113">
        <f>X27-Y27</f>
        <v>58969296</v>
      </c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M28" s="41"/>
      <c r="N28" s="41"/>
      <c r="O28" s="169"/>
      <c r="P28" s="169"/>
      <c r="Q28" s="169"/>
      <c r="R28" s="169"/>
      <c r="S28" s="169"/>
      <c r="W28" s="32" t="s">
        <v>4551</v>
      </c>
      <c r="X28" s="1">
        <v>70000000</v>
      </c>
      <c r="Y28" s="1">
        <f>'برنامه 5 ساله'!N59</f>
        <v>14095322</v>
      </c>
      <c r="Z28" s="113">
        <f>X28-Y28</f>
        <v>55904678</v>
      </c>
      <c r="AA28" s="96"/>
      <c r="AB28" s="96"/>
      <c r="AC28" s="96"/>
      <c r="AD28" s="96"/>
    </row>
    <row r="29" spans="1:31">
      <c r="A29" s="99" t="s">
        <v>4578</v>
      </c>
      <c r="B29" s="207"/>
      <c r="C29" s="170">
        <v>3490000</v>
      </c>
      <c r="D29" s="99" t="s">
        <v>4232</v>
      </c>
      <c r="M29" s="41"/>
      <c r="N29" s="41"/>
      <c r="O29" s="169"/>
      <c r="P29" s="169"/>
      <c r="Q29" s="169"/>
      <c r="R29" s="169"/>
      <c r="S29" s="169"/>
      <c r="W29" s="32" t="s">
        <v>4552</v>
      </c>
      <c r="X29" s="1">
        <v>0</v>
      </c>
      <c r="Y29" s="1">
        <v>0</v>
      </c>
      <c r="Z29" s="113">
        <f>X29-Y29</f>
        <v>0</v>
      </c>
      <c r="AA29" s="96"/>
      <c r="AB29" s="96"/>
      <c r="AC29" s="96"/>
      <c r="AD29" s="96"/>
    </row>
    <row r="30" spans="1:31">
      <c r="A30" s="99" t="s">
        <v>4579</v>
      </c>
      <c r="B30" s="207"/>
      <c r="C30" s="170">
        <v>271000</v>
      </c>
      <c r="D30" s="99" t="s">
        <v>4575</v>
      </c>
      <c r="M30" s="41"/>
      <c r="N30" s="41"/>
      <c r="O30" s="169"/>
      <c r="P30" s="169"/>
      <c r="Q30" s="169"/>
      <c r="R30" s="169"/>
      <c r="S30" s="169"/>
      <c r="W30" s="32" t="s">
        <v>314</v>
      </c>
      <c r="X30" s="1">
        <v>20000000</v>
      </c>
      <c r="Y30" s="1">
        <f>'برنامه 5 ساله'!N22+'برنامه 5 ساله'!N23+'برنامه 5 ساله'!N24+'برنامه 5 ساله'!N28+'برنامه 5 ساله'!N29+'برنامه 5 ساله'!N45+'برنامه 5 ساله'!N48+'برنامه 5 ساله'!N49+'برنامه 5 ساله'!N50+'برنامه 5 ساله'!N51+'برنامه 5 ساله'!N52+'برنامه 5 ساله'!N53+'برنامه 5 ساله'!N54+'برنامه 5 ساله'!N55+'برنامه 5 ساله'!N56+'برنامه 5 ساله'!N57+'برنامه 5 ساله'!N58</f>
        <v>21237989.900000002</v>
      </c>
      <c r="Z30" s="113">
        <f>X30-Y30</f>
        <v>-1237989.9000000022</v>
      </c>
      <c r="AA30" s="96"/>
      <c r="AB30" s="96"/>
      <c r="AC30" s="96"/>
      <c r="AD30" s="96"/>
    </row>
    <row r="31" spans="1:31">
      <c r="A31" s="99" t="s">
        <v>4589</v>
      </c>
      <c r="B31" s="207"/>
      <c r="C31" s="170">
        <v>69700</v>
      </c>
      <c r="D31" s="99" t="s">
        <v>4580</v>
      </c>
      <c r="M31" s="41"/>
      <c r="N31" s="41"/>
      <c r="O31" s="169"/>
      <c r="P31" s="169"/>
      <c r="Q31" s="169"/>
      <c r="R31" s="169"/>
      <c r="S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M32" s="41"/>
      <c r="N32" s="41"/>
      <c r="O32" s="169"/>
      <c r="P32" s="169"/>
      <c r="Q32" s="169"/>
      <c r="R32" s="169"/>
      <c r="S32" s="169"/>
      <c r="W32" s="96"/>
      <c r="X32" s="96"/>
      <c r="Y32" s="96"/>
      <c r="Z32" s="96" t="s">
        <v>4715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M33" s="41"/>
      <c r="N33" s="41"/>
      <c r="O33" s="169"/>
      <c r="P33" s="169"/>
      <c r="Q33" s="169"/>
      <c r="R33" s="169"/>
      <c r="S33" s="169"/>
      <c r="W33" s="96"/>
      <c r="X33" s="96"/>
      <c r="Y33" s="96"/>
      <c r="Z33" s="96" t="s">
        <v>4716</v>
      </c>
      <c r="AA33" s="218">
        <v>35441</v>
      </c>
      <c r="AB33" s="96"/>
      <c r="AC33" s="96"/>
      <c r="AD33" s="96"/>
    </row>
    <row r="34" spans="1:30" ht="120">
      <c r="A34" s="99"/>
      <c r="B34" s="207"/>
      <c r="C34" s="170"/>
      <c r="D34" s="99"/>
      <c r="I34" t="s">
        <v>25</v>
      </c>
      <c r="W34" s="96"/>
      <c r="X34" s="22" t="s">
        <v>4719</v>
      </c>
      <c r="Y34" s="22" t="s">
        <v>4718</v>
      </c>
      <c r="Z34" s="22" t="s">
        <v>4717</v>
      </c>
    </row>
    <row r="35" spans="1:30">
      <c r="A35" s="99"/>
      <c r="B35" s="170"/>
      <c r="C35" s="170"/>
      <c r="D35" s="9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6" spans="1:30">
      <c r="J46" s="41"/>
      <c r="K46" s="41"/>
      <c r="L46" s="41"/>
      <c r="M46" s="41"/>
    </row>
    <row r="49" spans="12:12">
      <c r="L4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4626</v>
      </c>
      <c r="AA2" s="99" t="s">
        <v>4624</v>
      </c>
      <c r="AB2" s="99" t="s">
        <v>4625</v>
      </c>
      <c r="AC2" s="99" t="s">
        <v>4628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4627</v>
      </c>
      <c r="Z4" s="99">
        <v>1</v>
      </c>
      <c r="AA4" s="99">
        <v>1</v>
      </c>
      <c r="AB4" s="99">
        <f t="shared" si="0"/>
        <v>1</v>
      </c>
      <c r="AC4" s="99" t="s">
        <v>4629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4611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4595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-1287000</v>
      </c>
      <c r="C11" s="18">
        <v>0</v>
      </c>
      <c r="D11" s="113">
        <f t="shared" si="0"/>
        <v>-1287000</v>
      </c>
      <c r="E11" s="19" t="s">
        <v>4586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4634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4650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4658</v>
      </c>
      <c r="B29" s="18">
        <v>-77315</v>
      </c>
      <c r="C29" s="18">
        <v>0</v>
      </c>
      <c r="D29" s="113">
        <f t="shared" si="0"/>
        <v>-77315</v>
      </c>
      <c r="E29" s="19" t="s">
        <v>4664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4666</v>
      </c>
      <c r="B30" s="18">
        <v>-66850</v>
      </c>
      <c r="C30" s="18">
        <v>0</v>
      </c>
      <c r="D30" s="113">
        <f t="shared" si="0"/>
        <v>-66850</v>
      </c>
      <c r="E30" s="19" t="s">
        <v>4677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4666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4651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4" t="s">
        <v>1089</v>
      </c>
      <c r="R21" s="214"/>
      <c r="S21" s="214"/>
      <c r="T21" s="214"/>
      <c r="U21" s="96"/>
      <c r="V21" s="96"/>
      <c r="W21" s="96"/>
      <c r="X21" s="96"/>
      <c r="Y21" s="96"/>
      <c r="Z21" s="96"/>
    </row>
    <row r="22" spans="5:35">
      <c r="O22" s="99"/>
      <c r="P22" s="99"/>
      <c r="Q22" s="214"/>
      <c r="R22" s="214"/>
      <c r="S22" s="214"/>
      <c r="T22" s="214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15" t="s">
        <v>1090</v>
      </c>
      <c r="R23" s="216" t="s">
        <v>1091</v>
      </c>
      <c r="S23" s="215" t="s">
        <v>1092</v>
      </c>
      <c r="T23" s="217" t="s">
        <v>1093</v>
      </c>
      <c r="AD23" t="s">
        <v>25</v>
      </c>
    </row>
    <row r="24" spans="5:35">
      <c r="O24" s="99"/>
      <c r="P24" s="99"/>
      <c r="Q24" s="215"/>
      <c r="R24" s="216"/>
      <c r="S24" s="215"/>
      <c r="T24" s="217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2019-01-23T21:48:53Z</dcterms:modified>
</cp:coreProperties>
</file>