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AH86" i="18" l="1"/>
  <c r="AH80" i="18"/>
  <c r="AC15" i="33" l="1"/>
  <c r="R13" i="33" l="1"/>
  <c r="R14" i="33"/>
  <c r="N14" i="33"/>
  <c r="L14" i="33" s="1"/>
  <c r="K2" i="33"/>
  <c r="K14" i="33"/>
  <c r="J14" i="33"/>
  <c r="I14" i="33"/>
  <c r="H14" i="33"/>
  <c r="G14" i="33"/>
  <c r="F14" i="33"/>
  <c r="E14" i="33"/>
  <c r="D14" i="33"/>
  <c r="C14" i="33"/>
  <c r="B14" i="33"/>
  <c r="N27" i="18" l="1"/>
  <c r="L25" i="18"/>
  <c r="D54" i="48" l="1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B267" i="20" l="1"/>
  <c r="AP21" i="18" l="1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R26" i="18" s="1"/>
  <c r="S26" i="18" s="1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1" i="18" l="1"/>
  <c r="P42" i="18" l="1"/>
  <c r="P43" i="18" s="1"/>
  <c r="N43" i="18" s="1"/>
  <c r="Q54" i="18"/>
  <c r="N42" i="18" l="1"/>
  <c r="N33" i="18" l="1"/>
  <c r="Q34" i="18" s="1"/>
  <c r="AH87" i="18" l="1"/>
  <c r="AK70" i="18"/>
  <c r="AK71" i="18"/>
  <c r="AJ68" i="18" l="1"/>
  <c r="AJ67" i="18" s="1"/>
  <c r="U39" i="18"/>
  <c r="AK68" i="18" l="1"/>
  <c r="AK80" i="18" s="1"/>
  <c r="AL80" i="18" s="1"/>
  <c r="AK69" i="18"/>
  <c r="AJ66" i="18"/>
  <c r="AK67" i="18"/>
  <c r="Q5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U22" i="33" s="1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3" i="18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<sst xmlns="http://schemas.openxmlformats.org/spreadsheetml/2006/main" count="9057" uniqueCount="4285">
  <si>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</si>
  <si>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</si>
  <si>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</si>
  <si>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</si>
  <si>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</si>
  <si>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</si>
  <si>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</si>
  <si>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</si>
  <si>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</si>
  <si>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</si>
  <si>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</si>
  <si>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</si>
  <si>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</si>
  <si>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</si>
  <si>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</si>
  <si>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</si>
  <si>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</si>
  <si>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</si>
  <si>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</si>
  <si>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</si>
  <si>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</si>
  <si>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</si>
  <si>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</si>
  <si>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</si>
  <si>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</si>
  <si>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</si>
  <si>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</si>
  <si>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</si>
  <si>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</si>
  <si>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</si>
  <si>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</si>
  <si>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</si>
  <si>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</si>
  <si>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</si>
  <si>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</si>
  <si>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</si>
  <si>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</si>
  <si>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</si>
  <si>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</si>
  <si>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</si>
  <si>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</si>
  <si>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</si>
  <si>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</si>
  <si>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</si>
  <si>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</si>
  <si>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</si>
  <si>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</si>
  <si>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</si>
  <si>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</si>
  <si>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</si>
  <si>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</si>
  <si>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</si>
  <si>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</si>
  <si>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</si>
  <si>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</si>
  <si>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</si>
  <si>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</si>
  <si>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</si>
  <si>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</si>
  <si>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</si>
  <si>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</si>
  <si>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</si>
  <si>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</si>
  <si>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</si>
  <si>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</si>
  <si>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</si>
  <si>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</si>
  <si>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</si>
  <si>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</si>
  <si>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</si>
  <si>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</si>
  <si>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</si>
  <si>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</si>
  <si>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</si>
  <si>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</si>
  <si>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</si>
  <si>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</si>
  <si>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</si>
  <si>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</si>
  <si>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</si>
  <si>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</si>
  <si>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</si>
  <si>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</si>
  <si>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</si>
  <si>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</si>
  <si>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</si>
  <si>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</si>
  <si>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</si>
  <si>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</si>
  <si>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</si>
  <si>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</si>
  <si>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</si>
  <si>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</si>
  <si>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</si>
  <si>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</si>
  <si>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</si>
  <si>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</si>
  <si>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</si>
  <si>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</si>
  <si>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</si>
  <si>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</si>
  <si>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</si>
  <si>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</si>
  <si>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</si>
  <si>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</si>
  <si>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</si>
  <si>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</si>
  <si>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</si>
  <si>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</si>
  <si>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</si>
  <si>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</si>
  <si>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</si>
  <si>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</si>
  <si>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</si>
  <si>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</si>
  <si>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</si>
  <si>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</si>
  <si>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</si>
  <si>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</si>
  <si>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</si>
  <si>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</si>
  <si>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</si>
  <si>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</si>
  <si>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</si>
  <si>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</si>
  <si>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</si>
  <si>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</si>
  <si>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</si>
  <si>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</si>
  <si>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</si>
  <si>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</si>
  <si>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</si>
  <si>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</si>
  <si>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</si>
  <si>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</si>
  <si>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</si>
  <si>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</si>
  <si>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</si>
  <si>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</si>
  <si>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</si>
  <si>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</si>
  <si>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</si>
  <si>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</si>
  <si>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</si>
  <si>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</si>
  <si>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</si>
  <si>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</si>
  <si>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</si>
  <si>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</si>
  <si>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</si>
  <si>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</si>
  <si>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</si>
  <si>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</si>
  <si>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</si>
  <si>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</si>
  <si>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</si>
  <si>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</si>
  <si>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</si>
  <si>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</si>
  <si>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</si>
  <si>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</si>
  <si>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</si>
  <si>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</si>
  <si>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</si>
  <si>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</si>
  <si>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</si>
  <si>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</si>
  <si>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</si>
  <si>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</si>
  <si>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</si>
  <si>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</si>
  <si>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</si>
  <si>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</si>
  <si>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</si>
  <si>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</si>
  <si>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</si>
  <si>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</si>
  <si>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</si>
  <si>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</si>
  <si>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</si>
  <si>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</si>
  <si>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</si>
  <si>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</si>
  <si>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</si>
  <si>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</si>
  <si>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</si>
  <si>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</si>
  <si>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</si>
  <si>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</si>
  <si>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</si>
  <si>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</si>
  <si>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</si>
  <si>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</si>
  <si>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</si>
  <si>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</si>
  <si>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</si>
  <si>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</si>
  <si>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</si>
  <si>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</si>
  <si>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</si>
  <si>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</si>
  <si>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</si>
  <si>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</si>
  <si>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</si>
  <si>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</si>
  <si>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</si>
  <si>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</si>
  <si>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</si>
  <si>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</si>
  <si>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</si>
  <si>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</si>
  <si>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</si>
  <si>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</si>
  <si>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</si>
  <si>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</si>
  <si>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</si>
  <si>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</si>
  <si>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</si>
  <si>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</si>
  <si>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</si>
  <si>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</si>
  <si>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</si>
  <si>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</si>
  <si>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</si>
  <si>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</si>
  <si>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</si>
  <si>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</si>
  <si>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</si>
  <si>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</si>
  <si>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</si>
  <si>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</si>
  <si>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</si>
  <si>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</si>
  <si>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</si>
  <si>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</si>
  <si>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</si>
  <si>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</si>
  <si>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</si>
  <si>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</si>
  <si>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</si>
  <si>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</si>
  <si>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</si>
  <si>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</si>
  <si>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</si>
  <si>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</si>
  <si>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</si>
  <si>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</si>
  <si>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</si>
  <si>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</si>
  <si>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</si>
  <si>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</si>
  <si>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</si>
  <si>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</si>
  <si>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</si>
  <si>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</si>
  <si>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</si>
  <si>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</si>
  <si>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</si>
  <si>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</si>
  <si>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</si>
  <si>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</si>
  <si>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</si>
  <si>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</si>
  <si>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</si>
  <si>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</si>
  <si>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</si>
  <si>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</si>
  <si>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</si>
  <si>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</si>
  <si>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</si>
  <si>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</si>
  <si>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</si>
  <si>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</si>
  <si>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</si>
  <si>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</si>
  <si>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</si>
  <si>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</si>
  <si>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</si>
  <si>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</si>
  <si>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</si>
  <si>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</si>
  <si>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</si>
  <si>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</si>
  <si>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</si>
  <si>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</si>
  <si>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</si>
  <si>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</si>
  <si>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</si>
  <si>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</si>
  <si>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</si>
  <si>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</si>
  <si>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</si>
  <si>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</si>
  <si>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</si>
  <si>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</si>
  <si>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</si>
  <si>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</si>
  <si>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</si>
  <si>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</si>
  <si>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</si>
  <si>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</si>
  <si>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</si>
  <si>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</si>
  <si>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</si>
  <si>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</si>
  <si>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</si>
  <si>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</si>
  <si>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</si>
  <si>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</si>
  <si>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</si>
  <si>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</si>
  <si>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</si>
  <si>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</si>
  <si>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</si>
  <si>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</si>
  <si>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</si>
  <si>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</si>
  <si>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</si>
  <si>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</si>
  <si>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</si>
  <si>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</si>
  <si>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</si>
  <si>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</si>
  <si>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</si>
  <si>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</si>
  <si>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</si>
  <si>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</si>
  <si>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</si>
  <si>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</si>
  <si>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</si>
  <si>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</si>
  <si>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</si>
  <si>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</si>
  <si>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</si>
  <si>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</si>
  <si>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</si>
  <si>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</si>
  <si>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</si>
  <si>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</si>
  <si>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</si>
  <si>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</si>
  <si>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</si>
  <si>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</si>
  <si>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</si>
  <si>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</si>
  <si>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</si>
  <si>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</si>
  <si>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</si>
  <si>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</si>
  <si>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</si>
  <si>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</si>
  <si>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</si>
  <si>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</si>
  <si>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</si>
  <si>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</si>
  <si>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</si>
  <si>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</si>
  <si>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</si>
  <si>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</si>
  <si>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</si>
  <si>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</si>
  <si>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</si>
  <si>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</si>
  <si>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</si>
  <si>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</si>
  <si>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</si>
  <si>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</si>
  <si>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</si>
  <si>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</si>
  <si>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</si>
  <si>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</si>
  <si>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</si>
  <si>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</si>
  <si>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</si>
  <si>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</si>
  <si>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</si>
  <si>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</si>
  <si>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</si>
  <si>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</si>
  <si>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</si>
  <si>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</si>
  <si>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</si>
  <si>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</si>
  <si>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</si>
  <si>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</si>
  <si>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</si>
  <si>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</si>
  <si>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</si>
  <si>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</si>
  <si>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</si>
  <si>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</si>
  <si>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</si>
  <si>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</si>
  <si>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</si>
  <si>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</si>
  <si>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</si>
  <si>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</si>
  <si>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</si>
  <si>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</si>
  <si>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</si>
  <si>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</si>
  <si>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</si>
  <si>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</si>
  <si>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</si>
  <si>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</si>
  <si>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</si>
  <si>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</si>
  <si>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</si>
  <si>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</si>
  <si>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</si>
  <si>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</si>
  <si>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</si>
  <si>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</si>
  <si>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</si>
  <si>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</si>
  <si>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</si>
  <si>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</si>
  <si>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</si>
  <si>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</si>
  <si>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</si>
  <si>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</si>
  <si>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</si>
  <si>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</si>
  <si>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</si>
  <si>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</si>
  <si>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</si>
  <si>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</si>
  <si>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</si>
  <si>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</si>
  <si>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</si>
  <si>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</si>
  <si>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</si>
  <si>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</si>
  <si>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</si>
  <si>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</si>
  <si>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</si>
  <si>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</si>
  <si>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</si>
  <si>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</si>
  <si>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</si>
  <si>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</si>
  <si>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</si>
  <si>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</si>
  <si>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</si>
  <si>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</si>
  <si>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</si>
  <si>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</si>
  <si>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</si>
  <si>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</si>
  <si>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</si>
  <si>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</si>
  <si>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</si>
  <si>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</si>
  <si>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</si>
  <si>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</si>
  <si>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</si>
  <si>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</si>
  <si>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</si>
  <si>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</si>
  <si>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</si>
  <si>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</si>
  <si>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</si>
  <si>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</si>
  <si>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</si>
  <si>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</si>
  <si>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</si>
  <si>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</si>
  <si>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</si>
  <si>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</si>
  <si>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</si>
  <si>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</si>
  <si>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</si>
  <si>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</si>
  <si>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</si>
  <si>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</si>
  <si>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</si>
  <si>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</si>
  <si>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</si>
  <si>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</si>
  <si>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</si>
  <si>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</si>
  <si>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</si>
  <si>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</si>
  <si>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</si>
  <si>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</si>
  <si>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</si>
  <si>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</si>
  <si>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</si>
  <si>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</si>
  <si>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</si>
  <si>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</si>
  <si>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</si>
  <si>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</si>
  <si>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</si>
  <si>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</si>
  <si>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</si>
  <si>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</si>
  <si>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</si>
  <si>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</si>
  <si>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</si>
  <si>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</si>
  <si>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</si>
  <si>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</si>
  <si>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</si>
  <si>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</si>
  <si>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</si>
  <si>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</si>
  <si>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</si>
  <si>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</si>
  <si>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</si>
  <si>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</si>
  <si>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</si>
  <si>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</si>
  <si>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</si>
  <si>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</si>
  <si>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</si>
  <si>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</si>
  <si>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</si>
  <si>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</si>
  <si>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</si>
  <si>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</si>
  <si>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</si>
  <si>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</si>
  <si>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</si>
  <si>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</si>
  <si>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</si>
  <si>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</si>
  <si>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</si>
  <si>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</si>
  <si>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</si>
  <si>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</si>
  <si>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</si>
  <si>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</si>
  <si>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</si>
  <si>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</si>
  <si>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</si>
  <si>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</si>
  <si>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</si>
  <si>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</si>
  <si>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</si>
  <si>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</si>
  <si>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</si>
  <si>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</si>
  <si>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</si>
  <si>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</si>
  <si>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</si>
  <si>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</si>
  <si>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</si>
  <si>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</si>
  <si>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</si>
  <si>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</si>
  <si>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</si>
  <si>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</si>
  <si>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</si>
  <si>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</si>
  <si>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</si>
  <si>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</si>
  <si>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</si>
  <si>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</si>
  <si>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</si>
  <si>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</si>
  <si>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</si>
  <si>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</si>
  <si>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</si>
  <si>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</si>
  <si>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</si>
  <si>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</si>
  <si>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</si>
  <si>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</si>
  <si>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</si>
  <si>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</si>
  <si>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</si>
  <si>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</si>
  <si>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</si>
  <si>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</si>
  <si>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</si>
  <si>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</si>
  <si>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</si>
  <si>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</si>
  <si>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</si>
  <si>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</si>
  <si>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</si>
  <si>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</si>
  <si>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</si>
  <si>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</si>
  <si>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</si>
  <si>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</si>
  <si>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</si>
  <si>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</si>
  <si>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</si>
  <si>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</si>
  <si>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</si>
  <si>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</si>
  <si>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</si>
  <si>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</si>
  <si>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</si>
  <si>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</si>
  <si>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</si>
  <si>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</si>
  <si>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</si>
  <si>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</si>
  <si>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</si>
  <si>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</si>
  <si>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</si>
  <si>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</si>
  <si>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</si>
  <si>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</si>
  <si>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</si>
  <si>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</si>
  <si>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</si>
  <si>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</si>
  <si>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</si>
  <si>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</si>
  <si>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</si>
  <si>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</si>
  <si>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</si>
  <si>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</si>
  <si>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</si>
  <si>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</si>
  <si>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</si>
  <si>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</si>
  <si>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</si>
  <si>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</si>
  <si>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</si>
  <si>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</si>
  <si>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</si>
  <si>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</si>
  <si>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</si>
  <si>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</si>
  <si>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</si>
  <si>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</si>
  <si>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</si>
  <si>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</si>
  <si>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</si>
  <si>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</si>
  <si>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</si>
  <si>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</si>
  <si>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</si>
  <si>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</si>
  <si>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</si>
  <si>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</si>
  <si>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</si>
  <si>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</si>
  <si>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</si>
  <si>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</si>
  <si>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</si>
  <si>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</si>
  <si>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</si>
  <si>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</si>
  <si>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</si>
  <si>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</si>
  <si>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</si>
  <si>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</si>
  <si>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</si>
  <si>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</si>
  <si>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</si>
  <si>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</si>
  <si>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</si>
  <si>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</si>
  <si>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</si>
  <si>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</si>
  <si>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</si>
  <si>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</si>
  <si>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</si>
  <si>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</si>
  <si>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</si>
  <si>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</si>
  <si>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</si>
  <si>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</si>
  <si>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</si>
  <si>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</si>
  <si>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</si>
  <si>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</si>
  <si>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</si>
  <si>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</si>
  <si>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</si>
  <si>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</si>
  <si>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</si>
  <si>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</si>
  <si>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</si>
  <si>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</si>
  <si>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</si>
  <si>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</si>
  <si>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</si>
  <si>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</si>
  <si>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</si>
  <si>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</si>
  <si>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</si>
  <si>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</si>
  <si>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</si>
  <si>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</si>
  <si>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</si>
  <si>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</si>
  <si>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</si>
  <si>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</si>
  <si>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</si>
  <si>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</si>
  <si>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</si>
  <si>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</si>
  <si>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</si>
  <si>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</si>
  <si>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</si>
  <si>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</si>
  <si>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</si>
  <si>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</si>
  <si>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</si>
  <si>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</si>
  <si>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</si>
  <si>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</si>
  <si>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</si>
  <si>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</si>
  <si>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</si>
  <si>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</si>
  <si>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</si>
  <si>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</si>
  <si>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</si>
  <si>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</si>
  <si>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</si>
  <si>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</si>
  <si>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</si>
  <si>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</si>
  <si>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</si>
  <si>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</si>
  <si>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</si>
  <si>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</si>
  <si>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</si>
  <si>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</si>
  <si>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</si>
  <si>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</si>
  <si>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</si>
  <si>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</si>
  <si>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</si>
  <si>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</si>
  <si>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</si>
  <si>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</si>
  <si>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</si>
  <si>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</si>
  <si>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</si>
  <si>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</si>
  <si>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</si>
  <si>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</si>
  <si>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</si>
  <si>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</si>
  <si>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</si>
  <si>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</si>
  <si>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</si>
  <si>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</si>
  <si>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</si>
  <si>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</si>
  <si>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</si>
  <si>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</si>
  <si>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</si>
  <si>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</si>
  <si>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</si>
  <si>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</si>
  <si>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</si>
  <si>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</si>
  <si>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</si>
  <si>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</si>
  <si>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</si>
  <si>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</si>
  <si>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</si>
  <si>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</si>
  <si>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</si>
  <si>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</si>
  <si>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</si>
  <si>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</si>
  <si>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</si>
  <si>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</si>
  <si>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</si>
  <si>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</si>
  <si>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</si>
  <si>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</si>
  <si>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</si>
  <si>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</si>
  <si>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</si>
  <si>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</si>
  <si>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</si>
  <si>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</si>
  <si>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</si>
  <si>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</si>
  <si>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</si>
  <si>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</si>
  <si>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</si>
  <si>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</si>
  <si>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</si>
  <si>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</si>
  <si>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</si>
  <si>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</si>
  <si>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</si>
  <si>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</si>
  <si>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</si>
  <si>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</si>
  <si>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</si>
  <si>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</si>
  <si>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</si>
  <si>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</si>
  <si>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</si>
  <si>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</si>
  <si>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</si>
  <si>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</si>
  <si>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</si>
  <si>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</si>
  <si>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</si>
  <si>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</si>
  <si>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</si>
  <si>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</si>
  <si>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</si>
  <si>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</si>
  <si>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</si>
  <si>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</si>
  <si>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</si>
  <si>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</si>
  <si>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</si>
  <si>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</si>
  <si>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</si>
  <si>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</si>
  <si>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</si>
  <si>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</si>
  <si>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</si>
  <si>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</si>
  <si>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</si>
  <si>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</si>
  <si>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</si>
  <si>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</si>
  <si>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</si>
  <si>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</si>
  <si>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</si>
  <si>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</si>
  <si>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</si>
  <si>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</si>
  <si>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</si>
  <si>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</si>
  <si>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</si>
  <si>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</si>
  <si>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</si>
  <si>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</si>
  <si>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</si>
  <si>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</si>
  <si>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</si>
  <si>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</si>
  <si>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</si>
  <si>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</si>
  <si>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</si>
  <si>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</si>
  <si>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</si>
  <si>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</si>
  <si>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</si>
  <si>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</si>
  <si>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</si>
  <si>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</si>
  <si>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</si>
  <si>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</si>
  <si>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</si>
  <si>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</si>
  <si>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</si>
  <si>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</si>
  <si>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</si>
  <si>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</si>
  <si>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</si>
  <si>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</si>
  <si>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</si>
  <si>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</si>
  <si>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</si>
  <si>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</si>
  <si>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</si>
  <si>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</si>
  <si>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</si>
  <si>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</si>
  <si>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</si>
  <si>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</si>
  <si>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</si>
  <si>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</si>
  <si>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</si>
  <si>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</si>
  <si>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</si>
  <si>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</si>
  <si>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</si>
  <si>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</si>
  <si>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</si>
  <si>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</si>
  <si>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</si>
  <si>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</si>
  <si>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</si>
  <si>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</si>
  <si>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</si>
  <si>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</si>
  <si>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</si>
  <si>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</si>
  <si>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</si>
  <si>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</si>
  <si>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</si>
  <si>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</si>
  <si>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</si>
  <si>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</si>
  <si>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</si>
  <si>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</si>
  <si>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</si>
  <si>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</si>
  <si>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</si>
  <si>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</si>
  <si>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</si>
  <si>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</si>
  <si>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</si>
  <si>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</si>
  <si>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</si>
  <si>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</si>
  <si>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</si>
  <si>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</si>
  <si>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</si>
  <si>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</si>
  <si>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</si>
  <si>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</si>
  <si>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</si>
  <si>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</si>
  <si>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</si>
  <si>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</si>
  <si>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</si>
  <si>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</si>
  <si>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</si>
  <si>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</si>
  <si>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</si>
  <si>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</si>
  <si>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</si>
  <si>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</si>
  <si>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</si>
  <si>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</si>
  <si>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</si>
  <si>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</si>
  <si>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</si>
  <si>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</si>
  <si>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</si>
  <si>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</si>
  <si>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</si>
  <si>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</si>
  <si>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</si>
  <si>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</si>
  <si>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</si>
  <si>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</si>
  <si>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</si>
  <si>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</si>
  <si>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</si>
  <si>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</si>
  <si>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</si>
  <si>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</si>
  <si>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</si>
  <si>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</si>
  <si>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</si>
  <si>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</si>
  <si>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</si>
  <si>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</si>
  <si>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</si>
  <si>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</si>
  <si>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</si>
  <si>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</si>
  <si>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</si>
  <si>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</si>
  <si>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</si>
  <si>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</si>
  <si>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</si>
  <si>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</si>
  <si>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</si>
  <si>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</si>
  <si>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</si>
  <si>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</si>
  <si>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</si>
  <si>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</si>
  <si>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</si>
  <si>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</si>
  <si>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</si>
  <si>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</si>
  <si>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</si>
  <si>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</si>
  <si>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</si>
  <si>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</si>
  <si>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</si>
  <si>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</si>
  <si>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</si>
  <si>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</si>
  <si>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</si>
  <si>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</si>
  <si>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</si>
  <si>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</si>
  <si>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</si>
  <si>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</si>
  <si>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</si>
  <si>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</si>
  <si>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</si>
  <si>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</si>
  <si>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</si>
  <si>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</si>
  <si>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</si>
  <si>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</si>
  <si>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</si>
  <si>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</si>
  <si>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</si>
  <si>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</si>
  <si>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</si>
  <si>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</si>
  <si>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</si>
  <si>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</si>
  <si>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</si>
  <si>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</si>
  <si>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</si>
  <si>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</si>
  <si>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</si>
  <si>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</si>
  <si>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</si>
  <si>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</si>
  <si>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</si>
  <si>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</si>
  <si>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</si>
  <si>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</si>
  <si>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</si>
  <si>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</si>
  <si>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</si>
  <si>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</si>
  <si>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</si>
  <si>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</si>
  <si>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</si>
  <si>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</si>
  <si>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</si>
  <si>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</si>
  <si>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</si>
  <si>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</si>
  <si>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</si>
  <si>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</si>
  <si>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</si>
  <si>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</si>
  <si>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</si>
  <si>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</si>
  <si>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</si>
  <si>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</si>
  <si>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</si>
  <si>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</si>
  <si>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</si>
  <si>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</si>
  <si>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</si>
  <si>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</si>
  <si>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</si>
  <si>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</si>
  <si>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</si>
  <si>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</si>
  <si>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</si>
  <si>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</si>
  <si>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</si>
  <si>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</si>
  <si>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</si>
  <si>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</si>
  <si>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</si>
  <si>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</si>
  <si>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</si>
  <si>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</si>
  <si>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</si>
  <si>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</si>
  <si>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</si>
  <si>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</si>
  <si>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</si>
  <si>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</si>
  <si>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</si>
  <si>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</si>
  <si>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</si>
  <si>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</si>
  <si>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</si>
  <si>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</si>
  <si>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</si>
  <si>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</si>
  <si>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</si>
  <si>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</si>
  <si>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</si>
  <si>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</si>
  <si>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</si>
  <si>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</si>
  <si>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</si>
  <si>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</si>
  <si>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</si>
  <si>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</si>
  <si>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</si>
  <si>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</si>
  <si>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</si>
  <si>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</si>
  <si>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</si>
  <si>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</si>
  <si>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</si>
  <si>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</si>
  <si>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</si>
  <si>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</si>
  <si>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</si>
  <si>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</si>
  <si>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</si>
  <si>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</si>
  <si>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</si>
  <si>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</si>
  <si>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</si>
  <si>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</si>
  <si>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</si>
  <si>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</si>
  <si>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</si>
  <si>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</si>
  <si>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</si>
  <si>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</si>
  <si>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</si>
  <si>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</si>
  <si>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</si>
  <si>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</si>
  <si>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</si>
  <si>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</si>
  <si>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</si>
  <si>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</si>
  <si>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</si>
  <si>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</si>
  <si>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</si>
  <si>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</si>
  <si>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</si>
  <si>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</si>
  <si>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</si>
  <si>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</si>
  <si>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</si>
  <si>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</si>
  <si>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</si>
  <si>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</si>
  <si>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</si>
  <si>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</si>
  <si>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</si>
  <si>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</si>
  <si>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</si>
  <si>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</si>
  <si>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</si>
  <si>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</si>
  <si>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</si>
  <si>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</si>
  <si>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</si>
  <si>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</si>
  <si>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</si>
  <si>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</si>
  <si>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</si>
  <si>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</si>
  <si>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</si>
  <si>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</si>
  <si>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</si>
  <si>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</si>
  <si>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</si>
  <si>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</si>
  <si>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</si>
  <si>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</si>
  <si>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</si>
  <si>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</si>
  <si>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</si>
  <si>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</si>
  <si>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</si>
  <si>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</si>
  <si>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</si>
  <si>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</si>
  <si>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</si>
  <si>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</si>
  <si>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</si>
  <si>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</si>
  <si>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</si>
  <si>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</si>
  <si>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</si>
  <si>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</si>
  <si>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</si>
  <si>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</si>
  <si>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</si>
  <si>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</si>
  <si>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</si>
  <si>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</si>
  <si>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</si>
  <si>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</si>
  <si>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</si>
  <si>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</si>
  <si>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</si>
  <si>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</si>
  <si>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</si>
  <si>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</si>
  <si>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</si>
  <si>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</si>
  <si>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</si>
  <si>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</si>
  <si>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</si>
  <si>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</si>
  <si>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</si>
  <si>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</si>
  <si>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</si>
  <si>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</si>
  <si>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</si>
  <si>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</si>
  <si>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</si>
  <si>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</si>
  <si>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</si>
  <si>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</si>
  <si>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</si>
  <si>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</si>
  <si>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</si>
  <si>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</si>
  <si>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</si>
  <si>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</si>
  <si>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</si>
  <si>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</si>
  <si>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</si>
  <si>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</si>
  <si>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</si>
  <si>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</si>
  <si>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</si>
  <si>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</si>
  <si>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</si>
  <si>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</si>
  <si>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</si>
  <si>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</si>
  <si>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</si>
  <si>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</si>
  <si>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</si>
  <si>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</si>
  <si>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</si>
  <si>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</si>
  <si>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</si>
  <si>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</si>
  <si>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</si>
  <si>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</si>
  <si>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</si>
  <si>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</si>
  <si>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</si>
  <si>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</si>
  <si>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</si>
  <si>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</si>
  <si>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</si>
  <si>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</si>
  <si>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</si>
  <si>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</si>
  <si>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</si>
  <si>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</si>
  <si>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</si>
  <si>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</si>
  <si>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</si>
  <si>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</si>
  <si>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</si>
  <si>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</si>
  <si>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</si>
  <si>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</si>
  <si>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</si>
  <si>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</si>
  <si>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</si>
  <si>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</si>
  <si>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</si>
  <si>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</si>
  <si>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</si>
  <si>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</si>
  <si>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</si>
  <si>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</si>
  <si>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</si>
  <si>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</si>
  <si>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</si>
  <si>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</si>
  <si>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</si>
  <si>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</si>
  <si>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</si>
  <si>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</si>
  <si>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</si>
  <si>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</si>
  <si>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</si>
  <si>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</si>
  <si>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</si>
  <si>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</si>
  <si>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</si>
  <si>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</si>
  <si>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</si>
  <si>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</si>
  <si>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</si>
  <si>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</si>
  <si>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</si>
  <si>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</si>
  <si>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</si>
  <si>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</si>
  <si>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</si>
  <si>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</si>
  <si>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</si>
  <si>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</si>
  <si>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</si>
  <si>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</si>
  <si>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</si>
  <si>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</si>
  <si>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</si>
  <si>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</si>
  <si>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</si>
  <si>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</si>
  <si>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</si>
  <si>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</si>
  <si>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</si>
  <si>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</si>
  <si>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</si>
  <si>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</si>
  <si>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</si>
  <si>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</si>
  <si>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</si>
  <si>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</si>
  <si>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</si>
  <si>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</si>
  <si>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</si>
  <si>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</si>
  <si>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</si>
  <si>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</si>
  <si>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</si>
  <si>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</si>
  <si>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</si>
  <si>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</si>
  <si>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</si>
  <si>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</si>
  <si>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</si>
  <si>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</si>
  <si>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</si>
  <si>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</si>
  <si>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</si>
  <si>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</si>
  <si>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</si>
  <si>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</si>
  <si>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</si>
  <si>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</si>
  <si>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</si>
  <si>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</si>
  <si>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</si>
  <si>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</si>
  <si>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</si>
  <si>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</si>
  <si>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</si>
  <si>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</si>
  <si>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</si>
  <si>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</si>
  <si>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</si>
  <si>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</si>
  <si>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</si>
  <si>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</si>
  <si>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</si>
  <si>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</si>
  <si>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</si>
  <si>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</si>
  <si>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</si>
  <si>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</si>
  <si>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</si>
  <si>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</si>
  <si>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</si>
  <si>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</si>
  <si>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</si>
  <si>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</si>
  <si>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</si>
  <si>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</si>
  <si>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</si>
  <si>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</si>
  <si>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</si>
  <si>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</si>
  <si>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</si>
  <si>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</si>
  <si>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</si>
  <si>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</si>
  <si>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</si>
  <si>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</si>
  <si>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</si>
  <si>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</si>
  <si>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</si>
  <si>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</si>
  <si>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</si>
  <si>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</si>
  <si>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</si>
  <si>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</si>
  <si>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</si>
  <si>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</si>
  <si>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</si>
  <si>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</si>
  <si>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</si>
  <si>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</si>
  <si>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</si>
  <si>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</si>
  <si>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</si>
  <si>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</si>
  <si>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</si>
  <si>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</si>
  <si>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</si>
  <si>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</si>
  <si>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</si>
  <si>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</si>
  <si>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</si>
  <si>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</si>
  <si>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</si>
  <si>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</si>
  <si>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</si>
  <si>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</si>
  <si>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</si>
  <si>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</si>
  <si>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</si>
  <si>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</si>
  <si>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</si>
  <si>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</si>
  <si>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</si>
  <si>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</si>
  <si>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</si>
  <si>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</si>
  <si>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</si>
  <si>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</si>
  <si>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</si>
  <si>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</si>
  <si>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</si>
  <si>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</si>
  <si>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</si>
  <si>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</si>
  <si>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</si>
  <si>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</si>
  <si>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</si>
  <si>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</si>
  <si>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</si>
  <si>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</si>
  <si>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</si>
  <si>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</si>
  <si>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</si>
  <si>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</si>
  <si>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</si>
  <si>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</si>
  <si>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</si>
  <si>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</si>
  <si>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</si>
  <si>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</si>
  <si>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</si>
  <si>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</si>
  <si>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</si>
  <si>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</si>
  <si>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</si>
  <si>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</si>
  <si>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</si>
  <si>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</si>
  <si>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</si>
  <si>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</si>
  <si>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</si>
  <si>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</si>
  <si>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</si>
  <si>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</si>
  <si>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</si>
  <si>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</si>
  <si>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</si>
  <si>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</si>
  <si>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</si>
  <si>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</si>
  <si>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</si>
  <si>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</si>
  <si>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</si>
  <si>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</si>
  <si>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</si>
  <si>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</si>
  <si>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</si>
  <si>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</si>
  <si>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</si>
  <si>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</si>
  <si>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</si>
  <si>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</si>
  <si>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</si>
  <si>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</si>
  <si>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</si>
  <si>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</si>
  <si>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</si>
  <si>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</si>
  <si>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</si>
  <si>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</si>
  <si>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</si>
  <si>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</si>
  <si>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</si>
  <si>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</si>
  <si>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</si>
  <si>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</si>
  <si>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</si>
  <si>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</si>
  <si>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</si>
  <si>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</si>
  <si>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</si>
  <si>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</si>
  <si>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</si>
  <si>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</si>
  <si>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</si>
  <si>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</si>
  <si>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</si>
  <si>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</si>
  <si>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</si>
  <si>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</si>
  <si>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</si>
  <si>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</si>
  <si>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</si>
  <si>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</si>
  <si>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</si>
  <si>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</si>
  <si>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</si>
  <si>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</si>
  <si>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</si>
  <si>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</si>
  <si>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</si>
  <si>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</si>
  <si>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</si>
  <si>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</si>
  <si>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</si>
  <si>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</si>
  <si>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</si>
  <si>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</si>
  <si>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</si>
  <si>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</si>
  <si>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</si>
  <si>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</si>
  <si>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</si>
  <si>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</si>
  <si>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</si>
  <si>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</si>
  <si>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</si>
  <si>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</si>
  <si>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</si>
  <si>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</si>
  <si>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</si>
  <si>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</si>
  <si>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</si>
  <si>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</si>
  <si>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</si>
  <si>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</si>
  <si>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</si>
  <si>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</si>
  <si>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</si>
  <si>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</si>
  <si>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</si>
  <si>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</si>
  <si>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</si>
  <si>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</si>
  <si>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</si>
  <si>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</si>
  <si>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</si>
  <si>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</si>
  <si>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</si>
  <si>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</si>
  <si>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</si>
  <si>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</si>
  <si>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</si>
  <si>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</si>
  <si>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</si>
  <si>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</si>
  <si>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</si>
  <si>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</si>
  <si>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</si>
  <si>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</si>
  <si>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</si>
  <si>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</si>
  <si>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</si>
  <si>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</si>
  <si>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</si>
  <si>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</si>
  <si>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</si>
  <si>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</si>
  <si>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</si>
  <si>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</si>
  <si>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</si>
  <si>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</si>
  <si>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</si>
  <si>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</si>
  <si>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</si>
  <si>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</si>
  <si>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</si>
  <si>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</si>
  <si>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</si>
  <si>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</si>
  <si>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</si>
  <si>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</si>
  <si>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</si>
  <si>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</si>
  <si>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</si>
  <si>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</si>
  <si>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</si>
  <si>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</si>
  <si>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</si>
  <si>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</si>
  <si>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</si>
  <si>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</si>
  <si>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</si>
  <si>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</si>
  <si>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</si>
  <si>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</si>
  <si>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</si>
  <si>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</si>
  <si>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</si>
  <si>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</si>
  <si>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</si>
  <si>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</si>
  <si>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</si>
  <si>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</si>
  <si>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</si>
  <si>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</si>
  <si>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</si>
  <si>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</si>
  <si>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</si>
  <si>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</si>
  <si>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</si>
  <si>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</si>
  <si>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</si>
  <si>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</si>
  <si>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</si>
  <si>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</si>
  <si>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</si>
  <si>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</si>
  <si>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</si>
  <si>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</si>
  <si>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</si>
  <si>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</si>
  <si>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</si>
  <si>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</si>
  <si>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</si>
  <si>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</si>
  <si>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</si>
  <si>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</si>
  <si>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</si>
  <si>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</si>
  <si>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</si>
  <si>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</si>
  <si>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</si>
  <si>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</si>
  <si>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</si>
  <si>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</si>
  <si>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</si>
  <si>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</si>
  <si>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</si>
  <si>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</si>
  <si>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</si>
  <si>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</si>
  <si>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</si>
  <si>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</si>
  <si>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</si>
  <si>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</si>
  <si>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</si>
  <si>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</si>
  <si>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</si>
  <si>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</si>
  <si>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</si>
  <si>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</si>
  <si>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</si>
  <si>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</si>
  <si>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</si>
  <si>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</si>
  <si>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</si>
  <si>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</si>
  <si>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</si>
  <si>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</si>
  <si>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</si>
  <si>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</si>
  <si>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</si>
  <si>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</si>
  <si>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</si>
  <si>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</si>
  <si>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</si>
  <si>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</si>
  <si>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</si>
  <si>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</si>
  <si>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</si>
  <si>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</si>
  <si>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</si>
  <si>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</si>
  <si>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</si>
  <si>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</si>
  <si>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</si>
  <si>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</si>
  <si>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</si>
  <si>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</si>
  <si>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</si>
  <si>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</si>
  <si>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</si>
  <si>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</si>
  <si>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</si>
  <si>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</si>
  <si>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</si>
  <si>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</si>
  <si>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</si>
  <si>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</si>
  <si>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</si>
  <si>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</si>
  <si>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</si>
  <si>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</si>
  <si>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</si>
  <si>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</si>
  <si>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</si>
  <si>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</si>
  <si>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</si>
  <si>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</si>
  <si>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</si>
  <si>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</si>
  <si>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</si>
  <si>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</si>
  <si>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</si>
  <si>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</si>
  <si>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</si>
  <si>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</si>
  <si>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</si>
  <si>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</si>
  <si>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</si>
  <si>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</si>
  <si>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</si>
  <si>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</si>
  <si>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</si>
  <si>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</si>
  <si>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</si>
  <si>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</si>
  <si>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</si>
  <si>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</si>
  <si>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</si>
  <si>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</si>
  <si>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</si>
  <si>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</si>
  <si>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</si>
  <si>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</si>
  <si>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</si>
  <si>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</si>
  <si>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</si>
  <si>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</si>
  <si>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</si>
  <si>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</si>
  <si>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</si>
  <si>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</si>
  <si>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</si>
  <si>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</si>
  <si>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</si>
  <si>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</si>
  <si>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</si>
  <si>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</si>
  <si>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</si>
  <si>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</si>
  <si>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</si>
  <si>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</si>
  <si>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</si>
  <si>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</si>
  <si>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</si>
  <si>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</si>
  <si>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</si>
  <si>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</si>
  <si>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</si>
  <si>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</si>
  <si>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</si>
  <si>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</si>
  <si>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</si>
  <si>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</si>
  <si>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</si>
  <si>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</si>
  <si>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</si>
  <si>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</si>
  <si>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</si>
  <si>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</si>
  <si>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</si>
  <si>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</si>
  <si>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</si>
  <si>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</si>
  <si>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</si>
  <si>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</si>
  <si>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</si>
  <si>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</si>
  <si>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</si>
  <si>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</si>
  <si>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</si>
  <si>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</si>
  <si>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</si>
  <si>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</si>
  <si>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</si>
  <si>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</si>
  <si>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</si>
  <si>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</si>
  <si>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</si>
  <si>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</si>
  <si>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</si>
  <si>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</si>
  <si>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</si>
  <si>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</si>
  <si>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</si>
  <si>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</si>
  <si>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</si>
  <si>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</si>
  <si>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</si>
  <si>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</si>
  <si>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</si>
  <si>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</si>
  <si>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</si>
  <si>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</si>
  <si>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</si>
  <si>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</si>
  <si>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</si>
  <si>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</si>
  <si>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</si>
  <si>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</si>
  <si>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</si>
  <si>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</si>
  <si>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</si>
  <si>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</si>
  <si>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</si>
  <si>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</si>
  <si>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</si>
  <si>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</si>
  <si>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</si>
  <si>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</si>
  <si>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</si>
  <si>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</si>
  <si>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</si>
  <si>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</si>
  <si>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</si>
  <si>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</si>
  <si>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</si>
  <si>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</si>
  <si>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</si>
  <si>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</si>
  <si>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</si>
  <si>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</si>
  <si>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</si>
  <si>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</si>
  <si>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</si>
  <si>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</si>
  <si>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</si>
  <si>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</si>
  <si>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</si>
  <si>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</si>
  <si>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</si>
  <si>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</si>
  <si>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</si>
  <si>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</si>
  <si>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</si>
  <si>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</si>
  <si>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</si>
  <si>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</si>
  <si>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</si>
  <si>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</si>
  <si>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</si>
  <si>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</si>
  <si>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</si>
  <si>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</si>
  <si>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</si>
  <si>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</si>
  <si>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</si>
  <si>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</si>
  <si>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</si>
  <si>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</si>
  <si>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</si>
  <si>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</si>
  <si>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</si>
  <si>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</si>
  <si>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</si>
  <si>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</si>
  <si>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</si>
  <si>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</si>
  <si>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</si>
  <si>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</si>
  <si>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</si>
  <si>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</si>
  <si>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</si>
  <si>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</si>
  <si>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</si>
  <si>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</si>
  <si>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</si>
  <si>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</si>
  <si>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</si>
  <si>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</si>
  <si>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</si>
  <si>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</si>
  <si>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</si>
  <si>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</si>
  <si>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</si>
  <si>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</si>
  <si>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</si>
  <si>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</si>
  <si>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</si>
  <si>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</si>
  <si>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</si>
  <si>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</si>
  <si>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</si>
  <si>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</si>
  <si>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</si>
  <si>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</si>
  <si>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</si>
  <si>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</si>
  <si>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</si>
  <si>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</si>
  <si>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</si>
  <si>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</si>
  <si>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</si>
  <si>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</si>
  <si>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</si>
  <si>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</si>
  <si>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</si>
  <si>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</si>
  <si>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</si>
  <si>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</si>
  <si>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</si>
  <si>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</si>
  <si>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</si>
  <si>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</si>
  <si>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</si>
  <si>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</si>
  <si>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</si>
  <si>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</si>
  <si>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</si>
  <si>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</si>
  <si>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</si>
  <si>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</si>
  <si>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</si>
  <si>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</si>
  <si>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</si>
  <si>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</si>
  <si>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</si>
  <si>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</si>
  <si>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</si>
  <si>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</si>
  <si>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</si>
  <si>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</si>
  <si>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</si>
  <si>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</si>
  <si>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</si>
  <si>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</si>
  <si>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</si>
  <si>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</si>
  <si>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</si>
  <si>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</si>
  <si>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</si>
  <si>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</si>
  <si>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</si>
  <si>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</si>
  <si>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</si>
  <si>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</si>
  <si>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</si>
  <si>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</si>
  <si>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</si>
  <si>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</si>
  <si>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</si>
  <si>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</si>
  <si>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</si>
  <si>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</si>
  <si>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</si>
  <si>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</si>
  <si>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</si>
  <si>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</si>
  <si>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</si>
  <si>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</si>
  <si>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</si>
  <si>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</si>
  <si>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</si>
  <si>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</si>
  <si>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</si>
  <si>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</si>
  <si>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</si>
  <si>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</si>
  <si>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</si>
  <si>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</si>
  <si>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</si>
  <si>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</si>
  <si>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</si>
  <si>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</si>
  <si>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</si>
  <si>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</si>
  <si>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</si>
  <si>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</si>
  <si>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</si>
  <si>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</si>
  <si>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</si>
  <si>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</si>
  <si>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</si>
  <si>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</si>
  <si>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</si>
  <si>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</si>
  <si>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</si>
  <si>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</si>
  <si>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</si>
  <si>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</si>
  <si>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</si>
  <si>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</si>
  <si>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</si>
  <si>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</si>
  <si>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</si>
  <si>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</si>
  <si>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</si>
  <si>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</si>
  <si>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</si>
  <si>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</si>
  <si>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</si>
  <si>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</si>
  <si>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</si>
  <si>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</si>
  <si>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</si>
  <si>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</si>
  <si>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</si>
  <si>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</si>
  <si>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</si>
  <si>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</si>
  <si>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</si>
  <si>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</si>
  <si>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</si>
  <si>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</si>
  <si>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</si>
  <si>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</si>
  <si>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</si>
  <si>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</si>
  <si>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</si>
  <si>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</si>
  <si>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</si>
  <si>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</si>
  <si>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</si>
  <si>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</si>
  <si>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</si>
  <si>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</si>
  <si>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</si>
  <si>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</si>
  <si>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</si>
  <si>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</si>
  <si>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</si>
  <si>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</si>
  <si>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</si>
  <si>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</si>
  <si>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</si>
  <si>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</si>
  <si>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</si>
  <si>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</si>
  <si>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</si>
  <si>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</si>
  <si>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</si>
  <si>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</si>
  <si>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</si>
  <si>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</si>
  <si>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</si>
  <si>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</si>
  <si>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</si>
  <si>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</si>
  <si>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</si>
  <si>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</si>
  <si>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</si>
  <si>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</si>
  <si>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</si>
  <si>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</si>
  <si>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</si>
  <si>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</si>
  <si>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</si>
  <si>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</si>
  <si>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</si>
  <si>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</si>
  <si>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</si>
  <si>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</si>
  <si>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</si>
  <si>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</si>
  <si>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</si>
  <si>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</si>
  <si>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</si>
  <si>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</si>
  <si>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</si>
  <si>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</si>
  <si>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</si>
  <si>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</si>
  <si>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</si>
  <si>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</si>
  <si>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</si>
  <si>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</si>
  <si>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</si>
  <si>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</si>
  <si>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</si>
  <si>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</si>
  <si>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</si>
  <si>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</si>
  <si>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</si>
  <si>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</si>
  <si>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</si>
  <si>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</si>
  <si>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</si>
  <si>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</si>
  <si>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</si>
  <si>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</si>
  <si>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</si>
  <si>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</si>
  <si>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</si>
  <si>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</si>
  <si>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</si>
  <si>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</si>
  <si>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</si>
  <si>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</si>
  <si>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</si>
  <si>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</si>
  <si>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</si>
  <si>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</si>
  <si>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</si>
  <si>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</si>
  <si>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</si>
  <si>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</si>
  <si>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</si>
  <si>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</si>
  <si>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</si>
  <si>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</si>
  <si>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</si>
  <si>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</si>
  <si>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</si>
  <si>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</si>
  <si>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</si>
  <si>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</si>
  <si>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</si>
  <si>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</si>
  <si>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</si>
  <si>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</si>
  <si>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</si>
  <si>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</si>
  <si>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</si>
  <si>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</si>
  <si>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</si>
  <si>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</si>
  <si>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</si>
  <si>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</si>
  <si>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</si>
  <si>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</si>
  <si>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</si>
  <si>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</si>
  <si>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</si>
  <si>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</si>
  <si>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</si>
  <si>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</si>
  <si>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</si>
  <si>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</si>
  <si>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</si>
  <si>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</si>
  <si>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</si>
  <si>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</si>
  <si>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</si>
  <si>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</si>
  <si>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</si>
  <si>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</si>
  <si>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</si>
  <si>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</si>
  <si>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</si>
  <si>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</si>
  <si>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</si>
  <si>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</si>
  <si>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</si>
  <si>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</si>
  <si>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</si>
  <si>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</si>
  <si>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</si>
  <si>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</si>
  <si>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</si>
  <si>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</si>
  <si>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</si>
  <si>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</si>
  <si>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</si>
  <si>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</si>
  <si>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</si>
  <si>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</si>
  <si>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</si>
  <si>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</si>
  <si>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</si>
  <si>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</si>
  <si>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</si>
  <si>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</si>
  <si>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</si>
  <si>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</si>
  <si>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</si>
  <si>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</si>
  <si>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</si>
  <si>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</si>
  <si>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</si>
  <si>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</si>
  <si>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</si>
  <si>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</si>
  <si>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</si>
  <si>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</si>
  <si>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</si>
  <si>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</si>
  <si>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</si>
  <si>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</si>
  <si>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</si>
  <si>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</si>
  <si>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</si>
  <si>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</si>
  <si>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</si>
  <si>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</si>
  <si>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</si>
  <si>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</si>
  <si>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</si>
  <si>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</si>
  <si>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</si>
  <si>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</si>
  <si>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</si>
  <si>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</si>
  <si>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</si>
  <si>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</si>
  <si>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</si>
  <si>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</si>
  <si>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</si>
  <si>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</si>
  <si>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</si>
  <si>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</si>
  <si>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</si>
  <si>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</si>
  <si>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</si>
  <si>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</si>
  <si>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</si>
  <si>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</si>
  <si>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</si>
  <si>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</si>
  <si>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</si>
  <si>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</si>
  <si>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</si>
  <si>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</si>
  <si>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</si>
  <si>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</si>
  <si>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</si>
  <si>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</si>
  <si>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</si>
  <si>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</si>
  <si>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</si>
  <si>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</si>
  <si>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</si>
  <si>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</si>
  <si>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</si>
  <si>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</si>
  <si>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</si>
  <si>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</si>
  <si>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</si>
  <si>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</si>
  <si>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</si>
  <si>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</si>
  <si>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</si>
  <si>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</si>
  <si>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</si>
  <si>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</si>
  <si>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</si>
  <si>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</si>
  <si>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</si>
  <si>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</si>
  <si>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</si>
  <si>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</si>
  <si>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</si>
  <si>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</si>
  <si>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</si>
  <si>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</si>
  <si>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</si>
  <si>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</si>
  <si>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</si>
  <si>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</si>
  <si>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</si>
  <si>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</si>
  <si>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</si>
  <si>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</si>
  <si>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</si>
  <si>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</si>
  <si>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</si>
  <si>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</si>
  <si>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</si>
  <si>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</si>
  <si>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</si>
  <si>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</si>
  <si>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</si>
  <si>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</si>
  <si>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</si>
  <si>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</si>
  <si>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</si>
  <si>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</si>
  <si>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</si>
  <si>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</si>
  <si>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</si>
  <si>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</si>
  <si>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</si>
  <si>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</si>
  <si>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</si>
  <si>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</si>
  <si>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</si>
  <si>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</si>
  <si>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</si>
  <si>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</si>
  <si>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</si>
  <si>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</si>
  <si>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</si>
  <si>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</si>
  <si>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</si>
  <si>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</si>
  <si>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</si>
  <si>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</si>
  <si>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</si>
  <si>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</si>
  <si>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</si>
  <si>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</si>
  <si>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</si>
  <si>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</si>
  <si>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</si>
  <si>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</si>
  <si>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</si>
  <si>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</si>
  <si>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</si>
  <si>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</si>
  <si>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</si>
  <si>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</si>
  <si>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</si>
  <si>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</si>
  <si>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</si>
  <si>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</si>
  <si>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</si>
  <si>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</si>
  <si>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</si>
  <si>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</si>
  <si>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</si>
  <si>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</si>
  <si>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</si>
  <si>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</si>
  <si>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</si>
  <si>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</si>
  <si>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</si>
  <si>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</si>
  <si>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</si>
  <si>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</si>
  <si>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</si>
  <si>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</si>
  <si>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</si>
  <si>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</si>
  <si>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</si>
  <si>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</si>
  <si>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</si>
  <si>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</si>
  <si>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</si>
  <si>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</si>
  <si>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</si>
  <si>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</si>
  <si>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</si>
  <si>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</si>
  <si>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</si>
  <si>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</si>
  <si>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</si>
  <si>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</si>
  <si>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</si>
  <si>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</si>
  <si>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</si>
  <si>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</si>
  <si>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</si>
  <si>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</si>
  <si>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</si>
  <si>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</si>
  <si>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</si>
  <si>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</si>
  <si>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</si>
  <si>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</si>
  <si>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</si>
  <si>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</si>
  <si>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</si>
  <si>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</si>
  <si>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</si>
  <si>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</si>
  <si>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</si>
  <si>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</si>
  <si>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</si>
  <si>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</si>
  <si>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</si>
  <si>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</si>
  <si>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</si>
  <si>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</si>
  <si>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</si>
  <si>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</si>
  <si>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</si>
  <si>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</si>
  <si>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</si>
  <si>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</si>
  <si>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</si>
  <si>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</si>
  <si>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</si>
  <si>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</si>
  <si>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</si>
  <si>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</si>
  <si>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</si>
  <si>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</si>
  <si>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</si>
  <si>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</si>
  <si>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</si>
  <si>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</si>
  <si>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</si>
  <si>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</si>
  <si>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</si>
  <si>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</si>
  <si>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</si>
  <si>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</si>
  <si>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</si>
  <si>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</si>
  <si>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</si>
  <si>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</si>
  <si>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</si>
  <si>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</si>
  <si>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</si>
  <si>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</si>
  <si>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</si>
  <si>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</si>
  <si>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</si>
  <si>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</si>
  <si>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</si>
  <si>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</si>
  <si>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</si>
  <si>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</si>
  <si>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</si>
  <si>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</si>
  <si>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</si>
  <si>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</si>
  <si>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</si>
  <si>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</si>
  <si>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</si>
  <si>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</si>
  <si>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</si>
  <si>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</si>
  <si>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</si>
  <si>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</si>
  <si>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</si>
  <si>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</si>
  <si>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</si>
  <si>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</si>
  <si>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</si>
  <si>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</si>
  <si>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</si>
  <si>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</si>
  <si>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</si>
  <si>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</si>
  <si>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</si>
  <si>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</si>
  <si>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</si>
  <si>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</si>
  <si>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</si>
  <si>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</si>
  <si>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</si>
  <si>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</si>
  <si>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</si>
  <si>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</si>
  <si>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</si>
  <si>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</si>
  <si>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</si>
  <si>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</si>
  <si>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</si>
  <si>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</si>
  <si>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</si>
  <si>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</si>
  <si>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</si>
  <si>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</si>
  <si>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</si>
  <si>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</si>
  <si>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</si>
  <si>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</si>
  <si>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</si>
  <si>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</si>
  <si>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</si>
  <si>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</si>
  <si>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</si>
  <si>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</si>
  <si>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</si>
  <si>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</si>
  <si>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</si>
  <si>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</si>
  <si>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</si>
  <si>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</si>
  <si>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</si>
  <si>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</si>
  <si>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</si>
  <si>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</si>
  <si>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</si>
  <si>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</si>
  <si>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</si>
  <si>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</si>
  <si>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</si>
  <si>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</si>
  <si>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</si>
  <si>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</si>
  <si>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</si>
  <si>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</si>
  <si>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</si>
  <si>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</si>
  <si>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</si>
  <si>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</si>
  <si>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</si>
  <si>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</si>
  <si>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</si>
  <si>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</si>
  <si>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</si>
  <si>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</si>
  <si>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</si>
  <si>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</si>
  <si>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</si>
  <si>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</si>
  <si>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</si>
  <si>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</si>
  <si>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</si>
  <si>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</si>
  <si>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</si>
  <si>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</si>
  <si>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</si>
  <si>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</si>
  <si>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</si>
  <si>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</si>
  <si>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</si>
  <si>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</si>
  <si>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</si>
  <si>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</si>
  <si>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</si>
  <si>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</si>
  <si>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</si>
  <si>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</si>
  <si>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</si>
  <si>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</si>
  <si>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</si>
  <si>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</si>
  <si>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</si>
  <si>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</si>
  <si>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</si>
  <si>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</si>
  <si>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</si>
  <si>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</si>
  <si>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</si>
  <si>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</si>
  <si>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</si>
  <si>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</si>
  <si>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</si>
  <si>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</si>
  <si>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</si>
  <si>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</si>
  <si>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</si>
  <si>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</si>
  <si>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</si>
  <si>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</si>
  <si>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</si>
  <si>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</si>
  <si>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</si>
  <si>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</si>
  <si>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</si>
  <si>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</si>
  <si>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</si>
  <si>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</si>
  <si>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</si>
  <si>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</si>
  <si>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</si>
  <si>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</si>
  <si>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</si>
  <si>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</si>
  <si>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</si>
  <si>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</si>
  <si>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</si>
  <si>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</si>
  <si>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</si>
  <si>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</si>
  <si>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</si>
  <si>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</si>
  <si>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</si>
  <si>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</si>
  <si>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</si>
  <si>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</si>
  <si>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</si>
  <si>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</si>
  <si>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</si>
  <si>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</si>
  <si>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</si>
  <si>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</si>
  <si>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</si>
  <si>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</si>
  <si>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</si>
  <si>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</si>
  <si>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</si>
  <si>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</si>
  <si>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</si>
  <si>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</si>
  <si>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</si>
  <si>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</si>
  <si>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</si>
  <si>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</si>
  <si>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</si>
  <si>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</si>
  <si>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</si>
  <si>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</si>
  <si>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</si>
  <si>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</si>
  <si>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</si>
  <si>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</si>
  <si>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</si>
  <si>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</si>
  <si>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</si>
  <si>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</si>
  <si>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</si>
  <si>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</si>
  <si>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</si>
  <si>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</si>
  <si>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</si>
  <si>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</si>
  <si>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</si>
  <si>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</si>
  <si>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</si>
  <si>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</si>
  <si>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</si>
  <si>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</si>
  <si>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</si>
  <si>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</si>
  <si>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</si>
  <si>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</si>
  <si>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</si>
  <si>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</si>
  <si>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</si>
  <si>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</si>
  <si>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</si>
  <si>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</si>
  <si>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</si>
  <si>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</si>
  <si>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</si>
  <si>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</si>
  <si>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</si>
  <si>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</si>
  <si>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</si>
  <si>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</si>
  <si>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</si>
  <si>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</si>
  <si>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</si>
  <si>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</si>
  <si>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</si>
  <si>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</si>
  <si>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</si>
  <si>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</si>
  <si>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</si>
  <si>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</si>
  <si>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</si>
  <si>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</si>
  <si>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</si>
  <si>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</si>
  <si>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</si>
  <si>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</si>
  <si>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</si>
  <si>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</si>
  <si>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</si>
  <si>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</si>
  <si>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</si>
  <si>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</si>
  <si>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</si>
  <si>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</si>
  <si>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</si>
  <si>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</si>
  <si>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</si>
  <si>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</si>
  <si>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</si>
  <si>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</si>
  <si>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</si>
  <si>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</si>
  <si>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</si>
  <si>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</si>
  <si>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</si>
  <si>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</si>
  <si>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</si>
  <si>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</si>
  <si>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</si>
  <si>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</si>
  <si>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</si>
  <si>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</si>
  <si>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</si>
  <si>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</si>
  <si>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</si>
  <si>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</si>
  <si>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</si>
  <si>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</si>
  <si>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</si>
  <si>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</si>
  <si>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</si>
  <si>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</si>
  <si>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</si>
  <si>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</si>
  <si>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</si>
  <si>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</si>
  <si>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</si>
  <si>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</si>
  <si>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</si>
  <si>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</si>
  <si>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</si>
  <si>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</si>
  <si>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</si>
  <si>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</si>
  <si>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</si>
  <si>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</si>
  <si>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</si>
  <si>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</si>
  <si>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</si>
  <si>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</si>
  <si>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</si>
  <si>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</si>
  <si>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</si>
  <si>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</si>
  <si>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</si>
  <si>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</si>
  <si>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</si>
  <si>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</si>
  <si>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</si>
  <si>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</si>
  <si>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</si>
  <si>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</si>
  <si>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</si>
  <si>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</si>
  <si>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</si>
  <si>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</si>
  <si>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</si>
  <si>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</si>
  <si>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</si>
  <si>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</si>
  <si>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</si>
  <si>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</si>
  <si>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</si>
  <si>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</si>
  <si>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</si>
  <si>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</si>
  <si>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</si>
  <si>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</si>
  <si>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</si>
  <si>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</si>
  <si>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</si>
  <si>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</si>
  <si>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</si>
  <si>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</si>
  <si>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</si>
  <si>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</si>
  <si>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</si>
  <si>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</si>
  <si>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</si>
  <si>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</si>
  <si>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</si>
  <si>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</si>
  <si>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</si>
  <si>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</si>
  <si>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</si>
  <si>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</si>
  <si>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</si>
  <si>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</si>
  <si>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</si>
  <si>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</si>
  <si>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</si>
  <si>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</si>
  <si>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</si>
  <si>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</si>
  <si>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</si>
  <si>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</si>
  <si>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</si>
  <si>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</si>
  <si>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</si>
  <si>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</si>
  <si>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</si>
  <si>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</si>
  <si>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</si>
  <si>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</si>
  <si>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</si>
  <si>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</si>
  <si>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</si>
  <si>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</si>
  <si>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</si>
  <si>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</si>
  <si>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</si>
  <si>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</si>
  <si>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</si>
  <si>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</si>
  <si>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</si>
  <si>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</si>
  <si>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</si>
  <si>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</si>
  <si>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</si>
  <si>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</si>
  <si>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</si>
  <si>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</si>
  <si>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</si>
  <si>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</si>
  <si>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</si>
  <si>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</si>
  <si>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</si>
  <si>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</si>
  <si>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</si>
  <si>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</si>
  <si>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</si>
  <si>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</si>
  <si>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</si>
  <si>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</si>
  <si>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</si>
  <si>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</si>
  <si>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</si>
  <si>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</si>
  <si>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</si>
  <si>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</si>
  <si>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</si>
  <si>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</si>
  <si>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</si>
  <si>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</si>
  <si>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</si>
  <si>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</si>
  <si>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</si>
  <si>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</si>
  <si>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</si>
  <si>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</si>
  <si>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</si>
  <si>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</si>
  <si>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</si>
  <si>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</si>
  <si>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</si>
  <si>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</si>
  <si>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</si>
  <si>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</si>
  <si>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</si>
  <si>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</si>
  <si>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</si>
  <si>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</si>
  <si>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</si>
  <si>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</si>
  <si>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</si>
  <si>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</si>
  <si>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</si>
  <si>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</si>
  <si>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</si>
  <si>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</si>
  <si>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</si>
  <si>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</si>
  <si>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</si>
  <si>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</si>
  <si>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</si>
  <si>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</si>
  <si>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</si>
  <si>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</si>
  <si>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</si>
  <si>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</si>
  <si>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</si>
  <si>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</si>
  <si>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</si>
  <si>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</si>
  <si>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</si>
  <si>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</si>
  <si>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</si>
  <si>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</si>
  <si>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</si>
  <si>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</si>
  <si>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</si>
  <si>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</si>
  <si>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</si>
  <si>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</si>
  <si>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</si>
  <si>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</si>
  <si>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</si>
  <si>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</si>
  <si>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</si>
  <si>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</si>
  <si>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</si>
  <si>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</si>
  <si>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</si>
  <si>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</si>
  <si>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</si>
  <si>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</si>
  <si>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</si>
  <si>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</si>
  <si>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</si>
  <si>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</si>
  <si>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</si>
  <si>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</si>
  <si>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</si>
  <si>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</si>
  <si>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</si>
  <si>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</si>
  <si>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</si>
  <si>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</si>
  <si>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</si>
  <si>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</si>
  <si>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</si>
  <si>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</si>
  <si>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</si>
  <si>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</si>
  <si>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</si>
  <si>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</si>
  <si>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</si>
  <si>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</si>
  <si>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</si>
  <si>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</si>
  <si>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</si>
  <si>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</si>
  <si>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</si>
  <si>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</si>
  <si>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</si>
  <si>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</si>
  <si>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</si>
  <si>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</si>
  <si>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</si>
  <si>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</si>
  <si>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</si>
  <si>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</si>
  <si>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</si>
  <si>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</si>
  <si>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</si>
  <si>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</si>
  <si>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</si>
  <si>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</si>
  <si>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</si>
  <si>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</si>
  <si>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</si>
  <si>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</si>
  <si>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</si>
  <si>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</si>
  <si>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</si>
  <si>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</si>
  <si>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</si>
  <si>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</si>
  <si>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</si>
  <si>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</si>
  <si>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</si>
  <si>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</si>
  <si>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</si>
  <si>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</si>
  <si>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</si>
  <si>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</si>
  <si>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</si>
  <si>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</si>
  <si>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</si>
  <si>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</si>
  <si>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</si>
  <si>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</si>
  <si>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</si>
  <si>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</si>
  <si>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</si>
  <si>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</si>
  <si>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</si>
  <si>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</si>
  <si>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</si>
  <si>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</si>
  <si>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</si>
  <si>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</si>
  <si>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</si>
  <si>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</si>
  <si>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</si>
  <si>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</si>
  <si>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</si>
  <si>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</si>
  <si>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</si>
  <si>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</si>
  <si>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</si>
  <si>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</si>
  <si>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</si>
  <si>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</si>
  <si>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</si>
  <si>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</si>
  <si>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</si>
  <si>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</si>
  <si>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</si>
  <si>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</si>
  <si>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</si>
  <si>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</si>
  <si>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</si>
  <si>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</si>
  <si>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</si>
  <si>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</si>
  <si>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</si>
  <si>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</si>
  <si>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</si>
  <si>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</si>
  <si>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</si>
  <si>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</si>
  <si>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</si>
  <si>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</si>
  <si>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</si>
  <si>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</si>
  <si>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</si>
  <si>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</si>
  <si>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</si>
  <si>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</si>
  <si>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</si>
  <si>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</si>
  <si>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</si>
  <si>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</si>
  <si>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</si>
  <si>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</si>
  <si>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</si>
  <si>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</si>
  <si>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</si>
  <si>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</si>
  <si>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</si>
  <si>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</si>
  <si>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</si>
  <si>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</si>
  <si>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</si>
  <si>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</si>
  <si>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</si>
  <si>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</si>
  <si>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</si>
  <si>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</si>
  <si>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</si>
  <si>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</si>
  <si>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</si>
  <si>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</si>
  <si>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</si>
  <si>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</si>
  <si>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</si>
  <si>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</si>
  <si>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</si>
  <si>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</si>
  <si>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</si>
  <si>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</si>
  <si>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</si>
  <si>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</si>
  <si>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</si>
  <si>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</si>
  <si>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</si>
  <si>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</si>
  <si>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</si>
  <si>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</si>
  <si>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</si>
  <si>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</si>
  <si>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</si>
  <si>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</si>
  <si>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</si>
  <si>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</si>
  <si>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</si>
  <si>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</si>
  <si>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</si>
  <si>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</si>
  <si>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</si>
  <si>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</si>
  <si>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</si>
  <si>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</si>
  <si>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</si>
  <si>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</si>
  <si>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</si>
  <si>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</si>
  <si>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</si>
  <si>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</si>
  <si>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</si>
  <si>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</si>
  <si>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</si>
  <si>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</si>
  <si>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</si>
  <si>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</si>
  <si>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</si>
  <si>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</si>
  <si>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</si>
  <si>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</si>
  <si>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</si>
  <si>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</si>
  <si>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</si>
  <si>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</si>
  <si>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</si>
  <si>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</si>
  <si>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</si>
  <si>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</si>
  <si>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</si>
  <si>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</si>
  <si>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</si>
  <si>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</si>
  <si>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</si>
  <si>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</si>
  <si>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</si>
  <si>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</si>
  <si>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</si>
  <si>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</si>
  <si>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</si>
  <si>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</si>
  <si>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</si>
  <si>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</si>
  <si>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</si>
  <si>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</si>
  <si>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</si>
  <si>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</si>
  <si>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</si>
  <si>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</si>
  <si>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</si>
  <si>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</si>
  <si>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</si>
  <si>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</si>
  <si>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</si>
  <si>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</si>
  <si>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</si>
  <si>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</si>
  <si>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</si>
  <si>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</si>
  <si>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</si>
  <si>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</si>
  <si>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</si>
  <si>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</si>
  <si>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</si>
  <si>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</si>
  <si>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</si>
  <si>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</si>
  <si>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</si>
  <si>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</si>
  <si>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</si>
  <si>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</si>
  <si>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</si>
  <si>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</si>
  <si>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</si>
  <si>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</si>
  <si>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</si>
  <si>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</si>
  <si>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</si>
  <si>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</si>
  <si>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</si>
  <si>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</si>
  <si>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</si>
  <si>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</si>
  <si>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</si>
  <si>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</si>
  <si>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</si>
  <si>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</si>
  <si>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</si>
  <si>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</si>
  <si>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</si>
  <si>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</si>
  <si>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</si>
  <si>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</si>
  <si>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</si>
  <si>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</si>
  <si>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</si>
  <si>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</si>
  <si>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</si>
  <si>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</si>
  <si>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</si>
  <si>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</si>
  <si>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</si>
  <si>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</si>
  <si>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</si>
  <si>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</si>
  <si>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</si>
  <si>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</si>
  <si>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</si>
  <si>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</si>
  <si>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</si>
  <si>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</si>
  <si>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</si>
  <si>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</si>
  <si>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</si>
  <si>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</si>
  <si>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</si>
  <si>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</si>
  <si>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</si>
  <si>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</si>
  <si>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</si>
  <si>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</si>
  <si>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</si>
  <si>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</si>
  <si>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</si>
  <si>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</si>
  <si>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</si>
  <si>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</si>
  <si>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</si>
  <si>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</si>
  <si>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</si>
  <si>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</si>
  <si>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</si>
  <si>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</si>
  <si>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</si>
  <si>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</si>
  <si>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</si>
  <si>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</si>
  <si>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</si>
  <si>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</si>
  <si>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</si>
  <si>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</si>
  <si>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</si>
  <si>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</si>
  <si>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</si>
  <si>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</si>
  <si>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</si>
  <si>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</si>
  <si>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</si>
  <si>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</si>
  <si>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</si>
  <si>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</si>
  <si>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</si>
  <si>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</si>
  <si>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</si>
  <si>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</si>
  <si>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</si>
  <si>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</si>
  <si>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</si>
  <si>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</si>
  <si>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</si>
  <si>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</si>
  <si>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</si>
  <si>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</si>
  <si>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</si>
  <si>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</si>
  <si>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</si>
  <si>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</si>
  <si>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</si>
  <si>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</si>
  <si>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</si>
  <si>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</si>
  <si>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</si>
  <si>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</si>
  <si>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</si>
  <si>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</si>
  <si>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</si>
  <si>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</si>
  <si>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</si>
  <si>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</si>
  <si>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</si>
  <si>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</si>
  <si>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</si>
  <si>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</si>
  <si>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</si>
  <si>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</si>
  <si>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</si>
  <si>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</si>
  <si>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</si>
  <si>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</si>
  <si>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</si>
  <si>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</si>
  <si>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</si>
  <si>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</si>
  <si>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</si>
  <si>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</si>
  <si>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</si>
  <si>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</si>
  <si>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</si>
  <si>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</si>
  <si>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</si>
  <si>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</si>
  <si>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</si>
  <si>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</si>
  <si>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</si>
  <si>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</si>
  <si>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</si>
  <si>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</si>
  <si>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</si>
  <si>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</si>
  <si>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</si>
  <si>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</si>
  <si>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</si>
  <si>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</si>
  <si>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</si>
  <si>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</si>
  <si>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</si>
  <si>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</si>
  <si>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</si>
  <si>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</si>
  <si>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</si>
  <si>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</si>
  <si>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</si>
  <si>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</si>
  <si>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</si>
  <si>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</si>
  <si>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</si>
  <si>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</si>
  <si>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</si>
  <si>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</si>
  <si>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</si>
  <si>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</si>
  <si>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</si>
  <si>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</si>
  <si>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</si>
  <si>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</si>
  <si>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</si>
  <si>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</si>
  <si>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</si>
  <si>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</si>
  <si>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</si>
  <si>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</si>
  <si>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</si>
  <si>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</si>
  <si>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</si>
  <si>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</si>
  <si>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</si>
  <si>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</si>
  <si>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</si>
  <si>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</si>
  <si>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</si>
  <si>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</si>
  <si>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</si>
  <si>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</si>
  <si>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</si>
  <si>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</si>
  <si>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</si>
  <si>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</si>
  <si>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</si>
  <si>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</si>
  <si>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</si>
  <si>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</si>
  <si>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</si>
  <si>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</si>
  <si>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</si>
  <si>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</si>
  <si>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</si>
  <si>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</si>
  <si>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</si>
  <si>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</si>
  <si>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</si>
  <si>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</si>
  <si>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</si>
  <si>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</si>
  <si>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</si>
  <si>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</si>
  <si>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</si>
  <si>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</si>
  <si>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</si>
  <si>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</si>
  <si>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</si>
  <si>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</si>
  <si>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</si>
  <si>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</si>
  <si>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</si>
  <si>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</si>
  <si>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</si>
  <si>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</si>
  <si>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</si>
  <si>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</si>
  <si>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</si>
  <si>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</si>
  <si>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</si>
  <si>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</si>
  <si>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</si>
  <si>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</si>
  <si>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</si>
  <si>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</si>
  <si>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</si>
  <si>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</si>
  <si>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</si>
  <si>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</si>
  <si>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</si>
  <si>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</si>
  <si>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</si>
  <si>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</si>
  <si>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</si>
  <si>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</si>
  <si>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</si>
  <si>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</si>
  <si>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</si>
  <si>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</si>
  <si>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</si>
  <si>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</si>
  <si>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</si>
  <si>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</si>
  <si>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</si>
  <si>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</si>
  <si>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</si>
  <si>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</si>
  <si>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</si>
  <si>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</si>
  <si>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</si>
  <si>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</si>
  <si>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</si>
  <si>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</si>
  <si>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</si>
  <si>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</si>
  <si>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</si>
  <si>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</si>
  <si>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</si>
  <si>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</si>
  <si>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</si>
  <si>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</si>
  <si>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</si>
  <si>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</si>
  <si>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</si>
  <si>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</si>
  <si>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</si>
  <si>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</si>
  <si>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</si>
  <si>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</si>
  <si>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</si>
  <si>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</si>
  <si>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</si>
  <si>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</si>
  <si>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</si>
  <si>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</si>
  <si>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</si>
  <si>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</si>
  <si>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</si>
  <si>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</si>
  <si>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</si>
  <si>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</si>
  <si>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</si>
  <si>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</si>
  <si>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</si>
  <si>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</si>
  <si>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</si>
  <si>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</si>
  <si>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</si>
  <si>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</si>
  <si>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</si>
  <si>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</si>
  <si>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</si>
  <si>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</si>
  <si>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</si>
  <si>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</si>
  <si>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</si>
  <si>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</si>
  <si>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</si>
  <si>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</si>
  <si>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</si>
  <si>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</si>
  <si>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</si>
  <si>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</si>
  <si>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</si>
  <si>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</si>
  <si>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</si>
  <si>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</si>
  <si>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</si>
  <si>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</si>
  <si>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</si>
  <si>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</si>
  <si>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</si>
  <si>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</si>
  <si>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</si>
  <si>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</si>
  <si>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</si>
  <si>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</si>
  <si>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</si>
  <si>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</si>
  <si>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</si>
  <si>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</si>
  <si>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</si>
  <si>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</si>
  <si>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</si>
  <si>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</si>
  <si>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</si>
  <si>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</si>
  <si>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</si>
  <si>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</si>
  <si>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</si>
  <si>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</si>
  <si>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</si>
  <si>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</si>
  <si>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</si>
  <si>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</si>
  <si>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</si>
  <si>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</si>
  <si>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</si>
  <si>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</si>
  <si>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</si>
  <si>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</si>
  <si>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</si>
  <si>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</si>
  <si>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</si>
  <si>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</si>
  <si>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</si>
  <si>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</si>
  <si>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</si>
  <si>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</si>
  <si>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</si>
  <si>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</si>
  <si>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</si>
  <si>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</si>
  <si>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</si>
  <si>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</si>
  <si>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</si>
  <si>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</si>
  <si>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</si>
  <si>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</si>
  <si>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</si>
  <si>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</si>
  <si>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</si>
  <si>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</si>
  <si>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</si>
  <si>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</si>
  <si>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</si>
  <si>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</si>
  <si>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</si>
  <si>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</si>
  <si>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</si>
  <si>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</si>
  <si>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</si>
  <si>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</si>
  <si>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</si>
  <si>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</si>
  <si>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</si>
  <si>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</si>
  <si>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</si>
  <si>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</si>
  <si>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</si>
  <si>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</si>
  <si>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</si>
  <si>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</si>
  <si>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</si>
  <si>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</si>
  <si>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</si>
  <si>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</si>
  <si>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</si>
  <si>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</si>
  <si>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</si>
  <si>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</si>
  <si>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</si>
  <si>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</si>
  <si>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</si>
  <si>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</si>
  <si>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</si>
  <si>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</si>
  <si>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</si>
  <si>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</si>
  <si>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</si>
  <si>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</si>
  <si>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</si>
  <si>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</si>
  <si>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</si>
  <si>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</si>
  <si>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</si>
  <si>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</si>
  <si>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</si>
  <si>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</si>
  <si>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</si>
  <si>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</si>
  <si>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</si>
  <si>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</si>
  <si>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</si>
  <si>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</si>
  <si>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</si>
  <si>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</si>
  <si>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</si>
  <si>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</si>
  <si>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</si>
  <si>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</si>
  <si>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</si>
  <si>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</si>
  <si>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</si>
  <si>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</si>
  <si>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</si>
  <si>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</si>
  <si>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</si>
  <si>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</si>
  <si>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</si>
  <si>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</si>
  <si>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</si>
  <si>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</si>
  <si>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</si>
  <si>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</si>
  <si>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</si>
  <si>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</si>
  <si>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</si>
  <si>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</si>
  <si>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</si>
  <si>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</si>
  <si>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</si>
  <si>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</si>
  <si>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</si>
  <si>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</si>
  <si>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</si>
  <si>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</si>
  <si>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</si>
  <si>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</si>
  <si>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</si>
  <si>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</si>
  <si>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</si>
  <si>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</si>
  <si>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</si>
  <si>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</si>
  <si>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</si>
  <si>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</si>
  <si>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</si>
  <si>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</si>
  <si>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</si>
  <si>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</si>
  <si>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</si>
  <si>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</si>
  <si>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</si>
  <si>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</si>
  <si>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</si>
  <si>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</si>
  <si>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</si>
  <si>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</si>
  <si>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</si>
  <si>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</si>
  <si>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</si>
  <si>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</si>
  <si>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</si>
  <si>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</si>
  <si>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</si>
  <si>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</si>
  <si>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</si>
  <si>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</si>
  <si>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</si>
  <si>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</si>
  <si>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</si>
  <si>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</si>
  <si>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</si>
  <si>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</si>
  <si>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</si>
  <si>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</si>
  <si>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</si>
  <si>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</si>
  <si>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</si>
  <si>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</si>
  <si>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</si>
  <si>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</si>
  <si>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</si>
  <si>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</si>
  <si>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</si>
  <si>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</si>
  <si>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</si>
  <si>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</si>
  <si>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</si>
  <si>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</si>
  <si>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</si>
  <si>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</si>
  <si>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</si>
  <si>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</si>
  <si>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</si>
  <si>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</si>
  <si>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</si>
  <si>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</si>
  <si>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</si>
  <si>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</si>
  <si>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</si>
  <si>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</si>
  <si>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</si>
  <si>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</si>
  <si>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</si>
  <si>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</si>
  <si>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</si>
  <si>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</si>
  <si>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</si>
  <si>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</si>
  <si>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</si>
  <si>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</si>
  <si>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</si>
  <si>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</si>
  <si>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</si>
  <si>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</si>
  <si>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</si>
  <si>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</si>
  <si>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</si>
  <si>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</si>
  <si>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</si>
  <si>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</si>
  <si>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</si>
  <si>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</si>
  <si>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</si>
  <si>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</si>
  <si>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</si>
  <si>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</si>
  <si>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</si>
  <si>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</si>
  <si>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</si>
  <si>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</si>
  <si>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</si>
  <si>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</si>
  <si>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</si>
  <si>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</si>
  <si>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</si>
  <si>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</si>
  <si>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</si>
  <si>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</si>
  <si>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</si>
  <si>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</si>
  <si>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</si>
  <si>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</si>
  <si>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</si>
  <si>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</si>
  <si>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</si>
  <si>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</si>
  <si>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</si>
  <si>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</si>
  <si>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</si>
  <si>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</si>
  <si>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</si>
  <si>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</si>
  <si>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</si>
  <si>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</si>
  <si>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</si>
  <si>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</si>
  <si>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</si>
  <si>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</si>
  <si>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</si>
  <si>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</si>
  <si>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</si>
  <si>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</si>
  <si>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</si>
  <si>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</si>
  <si>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</si>
  <si>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</si>
  <si>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</si>
  <si>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</si>
  <si>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</si>
  <si>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</si>
  <si>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</si>
  <si>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</si>
  <si>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</si>
  <si>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</si>
  <si>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</si>
  <si>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</si>
  <si>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</si>
  <si>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</si>
  <si>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</si>
  <si>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</si>
  <si>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</si>
  <si>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</si>
  <si>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</si>
  <si>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</si>
  <si>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</si>
  <si>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</si>
  <si>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</si>
  <si>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</si>
  <si>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</si>
  <si>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</si>
  <si>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</si>
  <si>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</si>
  <si>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</si>
  <si>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</si>
  <si>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</si>
  <si>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</si>
  <si>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</si>
  <si>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</si>
  <si>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</si>
  <si>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</si>
  <si>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</si>
  <si>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</si>
  <si>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</si>
  <si>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</si>
  <si>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</si>
  <si>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</si>
  <si>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</si>
  <si>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</si>
  <si>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</si>
  <si>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</si>
  <si>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</si>
  <si>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</si>
  <si>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</si>
  <si>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</si>
  <si>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</si>
  <si>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</si>
  <si>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</si>
  <si>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</si>
  <si>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</si>
  <si>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</si>
  <si>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</si>
  <si>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</si>
  <si>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</si>
  <si>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</si>
  <si>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</si>
  <si>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</si>
  <si>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</si>
  <si>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</si>
  <si>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</si>
  <si>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</si>
  <si>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</si>
  <si>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</si>
  <si>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</si>
  <si>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</si>
  <si>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</si>
  <si>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</si>
  <si>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</si>
  <si>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</si>
  <si>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</si>
  <si>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</si>
  <si>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</si>
  <si>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</si>
  <si>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</si>
  <si>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</si>
  <si>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</si>
  <si>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</si>
  <si>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</si>
  <si>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</si>
  <si>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</si>
  <si>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</si>
  <si>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</si>
  <si>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</si>
  <si>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</si>
  <si>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</si>
  <si>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</si>
  <si>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</si>
  <si>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</si>
  <si>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</si>
  <si>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</si>
  <si>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</si>
  <si>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</si>
  <si>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</si>
  <si>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</si>
  <si>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</si>
  <si>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</si>
  <si>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</si>
  <si>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</si>
  <si>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</si>
  <si>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</si>
  <si>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</si>
  <si>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</si>
  <si>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</si>
  <si>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</si>
  <si>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</si>
  <si>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</si>
  <si>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</si>
  <si>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</si>
  <si>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</si>
  <si>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</si>
  <si>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</si>
  <si>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</si>
  <si>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</si>
  <si>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</si>
  <si>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</si>
  <si>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</si>
  <si>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</si>
  <si>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</si>
  <si>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</si>
  <si>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</si>
  <si>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</si>
  <si>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</si>
  <si>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</si>
  <si>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</si>
  <si>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</si>
  <si>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</si>
  <si>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</si>
  <si>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</si>
  <si>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</si>
  <si>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</si>
  <si>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</si>
  <si>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</si>
  <si>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</si>
  <si>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</si>
  <si>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</si>
  <si>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</si>
  <si>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</si>
  <si>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</si>
  <si>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</si>
  <si>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</si>
  <si>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</si>
  <si>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</si>
  <si>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</si>
  <si>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</si>
  <si>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</si>
  <si>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</si>
  <si>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</si>
  <si>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</si>
  <si>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</si>
  <si>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</si>
  <si>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</si>
  <si>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</si>
  <si>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</si>
  <si>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</si>
  <si>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</si>
  <si>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</si>
  <si>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</si>
  <si>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</si>
  <si>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</si>
  <si>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</si>
  <si>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</si>
  <si>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</si>
  <si>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</si>
  <si>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</si>
  <si>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</si>
  <si>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</si>
  <si>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</si>
  <si>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</si>
  <si>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</si>
  <si>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</si>
  <si>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</si>
  <si>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</si>
  <si>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</si>
  <si>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</si>
  <si>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</si>
  <si>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</si>
  <si>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</si>
  <si>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</si>
  <si>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</si>
  <si>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</si>
  <si>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</si>
  <si>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</si>
  <si>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</si>
  <si>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</si>
  <si>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</si>
  <si>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</si>
  <si>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</si>
  <si>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</si>
  <si>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</si>
  <si>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</si>
  <si>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</si>
  <si>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</si>
  <si>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</si>
  <si>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</si>
  <si>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</si>
  <si>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</si>
  <si>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</si>
  <si>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</si>
  <si>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</si>
  <si>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</si>
  <si>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</si>
  <si>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</si>
  <si>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</si>
  <si>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</si>
  <si>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</si>
  <si>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</si>
  <si>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</si>
  <si>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</si>
  <si>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</si>
  <si>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</si>
  <si>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</si>
  <si>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</si>
  <si>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</si>
  <si>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</si>
  <si>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</si>
  <si>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</si>
  <si>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</si>
  <si>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</si>
  <si>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</si>
  <si>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</si>
  <si>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</si>
  <si>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</si>
  <si>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</si>
  <si>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</si>
  <si>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</si>
  <si>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</si>
  <si>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</si>
  <si>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</si>
  <si>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</si>
  <si>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</si>
  <si>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</si>
  <si>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</si>
  <si>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</si>
  <si>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</si>
  <si>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</si>
  <si>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</si>
  <si>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</si>
  <si>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</si>
  <si>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</si>
  <si>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</si>
  <si>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</si>
  <si>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</si>
  <si>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</si>
  <si>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</si>
  <si>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</si>
  <si>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</si>
  <si>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</si>
  <si>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</si>
  <si>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</si>
  <si>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</si>
  <si>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</si>
  <si>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</si>
  <si>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</si>
  <si>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</si>
  <si>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</si>
  <si>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</si>
  <si>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</si>
  <si>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</si>
  <si>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</si>
  <si>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</si>
  <si>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</si>
  <si>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</si>
  <si>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</si>
  <si>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</si>
  <si>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</si>
  <si>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</si>
  <si>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</si>
  <si>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</si>
  <si>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</si>
  <si>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</si>
  <si>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</si>
  <si>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</si>
  <si>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</si>
  <si>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</si>
  <si>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</si>
  <si>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</si>
  <si>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</si>
  <si>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</si>
  <si>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</si>
  <si>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</si>
  <si>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</si>
  <si>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</si>
  <si>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</si>
  <si>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</si>
  <si>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</si>
  <si>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</si>
  <si>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</si>
  <si>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</si>
  <si>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</si>
  <si>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</si>
  <si>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</si>
  <si>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</si>
  <si>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</si>
  <si>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</si>
  <si>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</si>
  <si>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</si>
  <si>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</si>
  <si>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</si>
  <si>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</si>
  <si>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</si>
  <si>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</si>
  <si>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</si>
  <si>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</si>
  <si>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</si>
  <si>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</si>
  <si>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</si>
  <si>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</si>
  <si>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</si>
  <si>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</si>
  <si>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</si>
  <si>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</si>
  <si>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</si>
  <si>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</si>
  <si>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</si>
  <si>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</si>
  <si>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</si>
  <si>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</si>
  <si>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</si>
  <si>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</si>
  <si>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</si>
  <si>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</si>
  <si>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</si>
  <si>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</si>
  <si>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</si>
  <si>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</si>
  <si>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</si>
  <si>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</si>
  <si>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</si>
  <si>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</si>
  <si>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</si>
  <si>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</si>
  <si>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</si>
  <si>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</si>
  <si>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</si>
  <si>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</si>
  <si>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</si>
  <si>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</si>
  <si>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</si>
  <si>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</si>
  <si>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</si>
  <si>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</si>
  <si>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</si>
  <si>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</si>
  <si>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</si>
  <si>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</si>
  <si>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</si>
  <si>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</si>
  <si>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</si>
  <si>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</si>
  <si>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</si>
  <si>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</si>
  <si>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</si>
  <si>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</si>
  <si>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</si>
  <si>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</si>
  <si>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</si>
  <si>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</si>
  <si>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</si>
  <si>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</si>
  <si>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</si>
  <si>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</si>
  <si>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</si>
  <si>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</si>
  <si>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</si>
  <si>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</si>
  <si>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</si>
  <si>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</si>
  <si>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</si>
  <si>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</si>
  <si>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</si>
  <si>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</si>
  <si>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</si>
  <si>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</si>
  <si>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</si>
  <si>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</si>
  <si>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</si>
  <si>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</si>
  <si>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</si>
  <si>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</si>
  <si>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</si>
  <si>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</si>
  <si>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</si>
  <si>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</si>
  <si>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</si>
  <si>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</si>
  <si>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</si>
  <si>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</si>
  <si>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</si>
  <si>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</si>
  <si>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</si>
  <si>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</si>
  <si>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</si>
  <si>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</si>
  <si>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</si>
  <si>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</si>
  <si>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</si>
  <si>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</si>
  <si>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</si>
  <si>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</si>
  <si>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</si>
  <si>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</si>
  <si>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</si>
  <si>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</si>
  <si>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</si>
  <si>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</si>
  <si>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</si>
  <si>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</si>
  <si>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</si>
  <si>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</si>
  <si>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</si>
  <si>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</si>
  <si>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</si>
  <si>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</si>
  <si>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</si>
  <si>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</si>
  <si>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</si>
  <si>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</si>
  <si>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</si>
  <si>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</si>
  <si>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</si>
  <si>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</si>
  <si>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</si>
  <si>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</si>
  <si>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</si>
  <si>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</si>
  <si>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</si>
  <si>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</si>
  <si>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</si>
  <si>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</si>
  <si>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</si>
  <si>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</si>
  <si>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</si>
  <si>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</si>
  <si>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</si>
  <si>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</si>
  <si>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</si>
  <si>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</si>
  <si>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</si>
  <si>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</si>
  <si>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</si>
  <si>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</si>
  <si>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</si>
  <si>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</si>
  <si>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</si>
  <si>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</si>
  <si>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</si>
  <si>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</si>
  <si>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</si>
  <si>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</si>
  <si>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</si>
  <si>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</si>
  <si>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</si>
  <si>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</si>
  <si>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</si>
  <si>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</si>
  <si>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</si>
  <si>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</si>
  <si>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</si>
  <si>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</si>
  <si>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</si>
  <si>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</si>
  <si>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</si>
  <si>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</si>
  <si>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</si>
  <si>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</si>
  <si>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</si>
  <si>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</si>
  <si>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</si>
  <si>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</si>
  <si>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</si>
  <si>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</si>
  <si>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</si>
  <si>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</si>
  <si>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</si>
  <si>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</si>
  <si>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</si>
  <si>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</si>
  <si>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</si>
  <si>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</si>
  <si>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</si>
  <si>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</si>
  <si>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</si>
  <si>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</si>
  <si>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</si>
  <si>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</si>
  <si>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</si>
  <si>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</si>
  <si>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</si>
  <si>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</si>
  <si>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</si>
  <si>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</si>
  <si>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</si>
  <si>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</si>
  <si>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</si>
  <si>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</si>
  <si>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</si>
  <si>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</si>
  <si>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</si>
  <si>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</si>
  <si>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</si>
  <si>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</si>
  <si>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</si>
  <si>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</si>
  <si>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</si>
  <si>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</si>
  <si>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</si>
  <si>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</si>
  <si>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</si>
  <si>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</si>
  <si>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</si>
  <si>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</si>
  <si>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</si>
  <si>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</si>
  <si>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</si>
  <si>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</si>
  <si>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</si>
  <si>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</si>
  <si>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</si>
  <si>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</si>
  <si>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</si>
  <si>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</si>
  <si>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</si>
  <si>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</si>
  <si>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</si>
  <si>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</si>
  <si>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</si>
  <si>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</si>
  <si>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</si>
  <si>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</si>
  <si>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</si>
  <si>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</si>
  <si>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</si>
  <si>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</si>
  <si>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</si>
  <si>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</si>
  <si>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</si>
  <si>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</si>
  <si>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</si>
  <si>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</si>
  <si>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</si>
  <si>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</si>
  <si>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</si>
  <si>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</si>
  <si>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</si>
  <si>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</si>
  <si>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</si>
  <si>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</si>
  <si>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</si>
  <si>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</si>
  <si>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</si>
  <si>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</si>
  <si>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</si>
  <si>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</si>
  <si>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</si>
  <si>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</si>
  <si>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</si>
  <si>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</si>
  <si>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</si>
  <si>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</si>
  <si>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</si>
  <si>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</si>
  <si>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</si>
  <si>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</si>
  <si>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</si>
  <si>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</si>
  <si>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</si>
  <si>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</si>
  <si>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</si>
  <si>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</si>
  <si>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</si>
  <si>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</si>
  <si>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</si>
  <si>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</si>
  <si>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</si>
  <si>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</si>
  <si>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</si>
  <si>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</si>
  <si>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</si>
  <si>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</si>
  <si>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</si>
  <si>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</si>
  <si>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</si>
  <si>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</si>
  <si>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</si>
  <si>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</si>
  <si>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</si>
  <si>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</si>
  <si>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</si>
  <si>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</si>
  <si>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</si>
  <si>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</si>
  <si>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</si>
  <si>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</si>
  <si>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</si>
  <si>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</si>
  <si>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</si>
  <si>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</si>
  <si>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</si>
  <si>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</si>
  <si>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</si>
  <si>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</si>
  <si>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</si>
  <si>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</si>
  <si>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</si>
  <si>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</si>
  <si>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</si>
  <si>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</si>
  <si>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</si>
  <si>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</si>
  <si>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</si>
  <si>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</si>
  <si>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</si>
  <si>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</si>
  <si>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</si>
  <si>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</si>
  <si>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</si>
  <si>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</si>
  <si>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</si>
  <si>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</si>
  <si>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</si>
  <si>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</si>
  <si>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</si>
  <si>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</si>
  <si>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</si>
  <si>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</si>
  <si>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</si>
  <si>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</si>
  <si>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</si>
  <si>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</si>
  <si>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بدهی به مهدی 14/7/97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</si>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</sst>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28" workbookViewId="0">
      <selection activeCell="C46" sqref="C4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4223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4229</v>
      </c>
      <c r="B3" s="18">
        <v>830000</v>
      </c>
      <c r="C3" s="18">
        <v>0</v>
      </c>
      <c r="D3" s="121">
        <f t="shared" ref="D3:D26" si="0">B3-C3</f>
        <v>830000</v>
      </c>
      <c r="E3" s="20" t="s">
        <v>4231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4253</v>
      </c>
      <c r="B4" s="18">
        <v>-52440</v>
      </c>
      <c r="C4" s="18">
        <v>0</v>
      </c>
      <c r="D4" s="117">
        <f t="shared" si="0"/>
        <v>-52440</v>
      </c>
      <c r="E4" s="103" t="s">
        <v>4260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4261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4264</v>
      </c>
      <c r="B6" s="18">
        <v>-200000</v>
      </c>
      <c r="C6" s="18">
        <v>0</v>
      </c>
      <c r="D6" s="117">
        <f t="shared" si="0"/>
        <v>-200000</v>
      </c>
      <c r="E6" s="19" t="s">
        <v>4265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4266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4267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4267</v>
      </c>
      <c r="B9" s="18">
        <v>-30000</v>
      </c>
      <c r="C9" s="18">
        <v>0</v>
      </c>
      <c r="D9" s="117">
        <f t="shared" si="0"/>
        <v>-30000</v>
      </c>
      <c r="E9" s="21" t="s">
        <v>4268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4271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4272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4222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4276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4164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4177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4177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4180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4180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4204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4204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4212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4226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-46434117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4232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4233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4234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4235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4245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4247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4256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4269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4271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4273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4275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4275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4278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-50000</v>
      </c>
      <c r="E50" s="41" t="s">
        <v>4280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67000</v>
      </c>
      <c r="E51" s="41" t="s">
        <v>4283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-49871015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186" activePane="bottomLeft" state="frozen"/>
      <selection pane="bottomLeft" activeCell="M248" sqref="M2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909</v>
      </c>
      <c r="H2" s="36">
        <f>IF(B2&gt;0,1,0)</f>
        <v>1</v>
      </c>
      <c r="I2" s="11">
        <f>B2*(G2-H2)</f>
        <v>15163600</v>
      </c>
      <c r="J2" s="53">
        <f>C2*(G2-H2)</f>
        <v>15163600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908</v>
      </c>
      <c r="H3" s="36">
        <f t="shared" ref="H3:H66" si="2">IF(B3&gt;0,1,0)</f>
        <v>1</v>
      </c>
      <c r="I3" s="11">
        <f t="shared" ref="I3:I66" si="3">B3*(G3-H3)</f>
        <v>18049300000</v>
      </c>
      <c r="J3" s="53">
        <f t="shared" ref="J3:J66" si="4">C3*(G3-H3)</f>
        <v>10328009000</v>
      </c>
      <c r="K3" s="53">
        <f t="shared" ref="K3:K66" si="5">D3*(G3-H3)</f>
        <v>7721291000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908</v>
      </c>
      <c r="H4" s="36">
        <f t="shared" si="2"/>
        <v>0</v>
      </c>
      <c r="I4" s="11">
        <f t="shared" si="3"/>
        <v>0</v>
      </c>
      <c r="J4" s="53">
        <f t="shared" si="4"/>
        <v>7718000</v>
      </c>
      <c r="K4" s="53">
        <f t="shared" si="5"/>
        <v>-7718000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906</v>
      </c>
      <c r="H5" s="36">
        <f t="shared" si="2"/>
        <v>1</v>
      </c>
      <c r="I5" s="11">
        <f t="shared" si="3"/>
        <v>1810000000</v>
      </c>
      <c r="J5" s="53">
        <f t="shared" si="4"/>
        <v>0</v>
      </c>
      <c r="K5" s="53">
        <f t="shared" si="5"/>
        <v>1810000000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899</v>
      </c>
      <c r="H6" s="36">
        <f t="shared" si="2"/>
        <v>0</v>
      </c>
      <c r="I6" s="11">
        <f t="shared" si="3"/>
        <v>-4495000</v>
      </c>
      <c r="J6" s="53">
        <f t="shared" si="4"/>
        <v>0</v>
      </c>
      <c r="K6" s="53">
        <f t="shared" si="5"/>
        <v>-4495000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895</v>
      </c>
      <c r="H7" s="36">
        <f t="shared" si="2"/>
        <v>0</v>
      </c>
      <c r="I7" s="11">
        <f t="shared" si="3"/>
        <v>-1074447500</v>
      </c>
      <c r="J7" s="53">
        <f t="shared" si="4"/>
        <v>0</v>
      </c>
      <c r="K7" s="53">
        <f t="shared" si="5"/>
        <v>-1074447500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894</v>
      </c>
      <c r="H8" s="36">
        <f t="shared" si="2"/>
        <v>0</v>
      </c>
      <c r="I8" s="11">
        <f t="shared" si="3"/>
        <v>-178800000</v>
      </c>
      <c r="J8" s="53">
        <f t="shared" si="4"/>
        <v>0</v>
      </c>
      <c r="K8" s="53">
        <f t="shared" si="5"/>
        <v>-178800000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892</v>
      </c>
      <c r="H9" s="36">
        <f t="shared" si="2"/>
        <v>0</v>
      </c>
      <c r="I9" s="11">
        <f t="shared" si="3"/>
        <v>-629306000</v>
      </c>
      <c r="J9" s="53">
        <f t="shared" si="4"/>
        <v>0</v>
      </c>
      <c r="K9" s="53">
        <f t="shared" si="5"/>
        <v>-629306000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883</v>
      </c>
      <c r="H10" s="36">
        <f t="shared" si="2"/>
        <v>0</v>
      </c>
      <c r="I10" s="11">
        <f t="shared" si="3"/>
        <v>-176600000</v>
      </c>
      <c r="J10" s="53">
        <f t="shared" si="4"/>
        <v>0</v>
      </c>
      <c r="K10" s="53">
        <f t="shared" si="5"/>
        <v>-176600000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883</v>
      </c>
      <c r="H11" s="36">
        <f t="shared" si="2"/>
        <v>1</v>
      </c>
      <c r="I11" s="11">
        <f t="shared" si="3"/>
        <v>882000000</v>
      </c>
      <c r="J11" s="53">
        <f t="shared" si="4"/>
        <v>0</v>
      </c>
      <c r="K11" s="53">
        <f t="shared" si="5"/>
        <v>882000000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879</v>
      </c>
      <c r="H12" s="36">
        <f t="shared" si="2"/>
        <v>0</v>
      </c>
      <c r="I12" s="11">
        <f t="shared" si="3"/>
        <v>-263700000</v>
      </c>
      <c r="J12" s="53">
        <f t="shared" si="4"/>
        <v>0</v>
      </c>
      <c r="K12" s="53">
        <f t="shared" si="5"/>
        <v>-263700000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874</v>
      </c>
      <c r="H13" s="36">
        <f t="shared" si="2"/>
        <v>0</v>
      </c>
      <c r="I13" s="11">
        <f t="shared" si="3"/>
        <v>-54188000</v>
      </c>
      <c r="J13" s="53">
        <f t="shared" si="4"/>
        <v>0</v>
      </c>
      <c r="K13" s="53">
        <f t="shared" si="5"/>
        <v>-54188000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874</v>
      </c>
      <c r="H14" s="36">
        <f t="shared" si="2"/>
        <v>1</v>
      </c>
      <c r="I14" s="11">
        <f t="shared" si="3"/>
        <v>1746000000</v>
      </c>
      <c r="J14" s="53">
        <f t="shared" si="4"/>
        <v>0</v>
      </c>
      <c r="K14" s="53">
        <f t="shared" si="5"/>
        <v>1746000000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873</v>
      </c>
      <c r="H15" s="36">
        <f t="shared" si="2"/>
        <v>1</v>
      </c>
      <c r="I15" s="11">
        <f t="shared" si="3"/>
        <v>1569600000</v>
      </c>
      <c r="J15" s="53">
        <f t="shared" si="4"/>
        <v>0</v>
      </c>
      <c r="K15" s="53">
        <f t="shared" si="5"/>
        <v>1569600000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873</v>
      </c>
      <c r="H16" s="36">
        <f t="shared" si="2"/>
        <v>0</v>
      </c>
      <c r="I16" s="11">
        <f t="shared" si="3"/>
        <v>-174600000</v>
      </c>
      <c r="J16" s="53">
        <f t="shared" si="4"/>
        <v>0</v>
      </c>
      <c r="K16" s="53">
        <f t="shared" si="5"/>
        <v>-174600000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869</v>
      </c>
      <c r="H17" s="36">
        <f t="shared" si="2"/>
        <v>0</v>
      </c>
      <c r="I17" s="11">
        <f t="shared" si="3"/>
        <v>-1738000000</v>
      </c>
      <c r="J17" s="53">
        <f t="shared" si="4"/>
        <v>0</v>
      </c>
      <c r="K17" s="53">
        <f t="shared" si="5"/>
        <v>-1738000000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868</v>
      </c>
      <c r="H18" s="36">
        <f t="shared" si="2"/>
        <v>0</v>
      </c>
      <c r="I18" s="11">
        <f t="shared" si="3"/>
        <v>-260400000</v>
      </c>
      <c r="J18" s="53">
        <f t="shared" si="4"/>
        <v>0</v>
      </c>
      <c r="K18" s="53">
        <f t="shared" si="5"/>
        <v>-260400000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867</v>
      </c>
      <c r="H19" s="36">
        <f t="shared" si="2"/>
        <v>0</v>
      </c>
      <c r="I19" s="11">
        <f t="shared" si="3"/>
        <v>-173400000</v>
      </c>
      <c r="J19" s="53">
        <f t="shared" si="4"/>
        <v>0</v>
      </c>
      <c r="K19" s="53">
        <f t="shared" si="5"/>
        <v>-173400000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865</v>
      </c>
      <c r="H20" s="36">
        <f t="shared" si="2"/>
        <v>1</v>
      </c>
      <c r="I20" s="11">
        <f t="shared" si="3"/>
        <v>234220896</v>
      </c>
      <c r="J20" s="53">
        <f t="shared" si="4"/>
        <v>127398528</v>
      </c>
      <c r="K20" s="53">
        <f t="shared" si="5"/>
        <v>106822368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863</v>
      </c>
      <c r="H21" s="36">
        <f t="shared" si="2"/>
        <v>0</v>
      </c>
      <c r="I21" s="11">
        <f t="shared" si="3"/>
        <v>-1299419100</v>
      </c>
      <c r="J21" s="53">
        <f t="shared" si="4"/>
        <v>0</v>
      </c>
      <c r="K21" s="53">
        <f t="shared" si="5"/>
        <v>-1299419100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860</v>
      </c>
      <c r="H22" s="36">
        <f t="shared" si="2"/>
        <v>1</v>
      </c>
      <c r="I22" s="11">
        <f t="shared" si="3"/>
        <v>2577000000</v>
      </c>
      <c r="J22" s="53">
        <f t="shared" si="4"/>
        <v>0</v>
      </c>
      <c r="K22" s="53">
        <f t="shared" si="5"/>
        <v>2577000000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859</v>
      </c>
      <c r="H23" s="36">
        <f t="shared" si="2"/>
        <v>1</v>
      </c>
      <c r="I23" s="11">
        <f t="shared" si="3"/>
        <v>858000000</v>
      </c>
      <c r="J23" s="53">
        <f t="shared" si="4"/>
        <v>0</v>
      </c>
      <c r="K23" s="53">
        <f t="shared" si="5"/>
        <v>858000000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858</v>
      </c>
      <c r="H24" s="36">
        <f t="shared" si="2"/>
        <v>0</v>
      </c>
      <c r="I24" s="11">
        <f t="shared" si="3"/>
        <v>-2574772200</v>
      </c>
      <c r="J24" s="53">
        <f t="shared" si="4"/>
        <v>0</v>
      </c>
      <c r="K24" s="53">
        <f t="shared" si="5"/>
        <v>-2574772200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843</v>
      </c>
      <c r="H25" s="36">
        <f t="shared" si="2"/>
        <v>1</v>
      </c>
      <c r="I25" s="11">
        <f t="shared" si="3"/>
        <v>1263000000</v>
      </c>
      <c r="J25" s="53">
        <f t="shared" si="4"/>
        <v>0</v>
      </c>
      <c r="K25" s="53">
        <f t="shared" si="5"/>
        <v>1263000000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835</v>
      </c>
      <c r="H26" s="36">
        <f t="shared" si="2"/>
        <v>0</v>
      </c>
      <c r="I26" s="11">
        <f t="shared" si="3"/>
        <v>-136940000</v>
      </c>
      <c r="J26" s="53">
        <f t="shared" si="4"/>
        <v>0</v>
      </c>
      <c r="K26" s="53">
        <f t="shared" si="5"/>
        <v>-136940000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834</v>
      </c>
      <c r="H27" s="36">
        <f t="shared" si="2"/>
        <v>1</v>
      </c>
      <c r="I27" s="11">
        <f t="shared" si="3"/>
        <v>166094369</v>
      </c>
      <c r="J27" s="53">
        <f t="shared" si="4"/>
        <v>89475029</v>
      </c>
      <c r="K27" s="53">
        <f t="shared" si="5"/>
        <v>76619340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832</v>
      </c>
      <c r="H28" s="36">
        <f t="shared" si="2"/>
        <v>0</v>
      </c>
      <c r="I28" s="11">
        <f t="shared" si="3"/>
        <v>-183872000</v>
      </c>
      <c r="J28" s="53">
        <f t="shared" si="4"/>
        <v>-183872000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832</v>
      </c>
      <c r="H29" s="36">
        <f t="shared" si="2"/>
        <v>0</v>
      </c>
      <c r="I29" s="11">
        <f t="shared" si="3"/>
        <v>-416416000</v>
      </c>
      <c r="J29" s="53">
        <f t="shared" si="4"/>
        <v>0</v>
      </c>
      <c r="K29" s="53">
        <f t="shared" si="5"/>
        <v>-416416000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832</v>
      </c>
      <c r="H30" s="36">
        <f t="shared" si="2"/>
        <v>0</v>
      </c>
      <c r="I30" s="11">
        <f t="shared" si="3"/>
        <v>-12480000000</v>
      </c>
      <c r="J30" s="53">
        <f t="shared" si="4"/>
        <v>-12480000000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815</v>
      </c>
      <c r="H31" s="36">
        <f t="shared" si="2"/>
        <v>0</v>
      </c>
      <c r="I31" s="11">
        <f t="shared" si="3"/>
        <v>-2453883500</v>
      </c>
      <c r="J31" s="53">
        <f t="shared" si="4"/>
        <v>0</v>
      </c>
      <c r="K31" s="53">
        <f t="shared" si="5"/>
        <v>-2453883500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813</v>
      </c>
      <c r="H32" s="36">
        <f t="shared" si="2"/>
        <v>0</v>
      </c>
      <c r="I32" s="11">
        <f t="shared" si="3"/>
        <v>-2443796700</v>
      </c>
      <c r="J32" s="53">
        <f t="shared" si="4"/>
        <v>0</v>
      </c>
      <c r="K32" s="53">
        <f t="shared" si="5"/>
        <v>-2443796700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812</v>
      </c>
      <c r="H33" s="36">
        <f t="shared" si="2"/>
        <v>0</v>
      </c>
      <c r="I33" s="11">
        <f t="shared" si="3"/>
        <v>-727146000</v>
      </c>
      <c r="J33" s="53">
        <f t="shared" si="4"/>
        <v>0</v>
      </c>
      <c r="K33" s="53">
        <f t="shared" si="5"/>
        <v>-727146000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812</v>
      </c>
      <c r="H34" s="36">
        <f t="shared" si="2"/>
        <v>0</v>
      </c>
      <c r="I34" s="11">
        <f t="shared" si="3"/>
        <v>0</v>
      </c>
      <c r="J34" s="53">
        <f t="shared" si="4"/>
        <v>812000000</v>
      </c>
      <c r="K34" s="53">
        <f t="shared" si="5"/>
        <v>-812000000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803</v>
      </c>
      <c r="H35" s="36">
        <f t="shared" si="2"/>
        <v>1</v>
      </c>
      <c r="I35" s="11">
        <f t="shared" si="3"/>
        <v>42082544</v>
      </c>
      <c r="J35" s="53">
        <f t="shared" si="4"/>
        <v>-17373726</v>
      </c>
      <c r="K35" s="53">
        <f t="shared" si="5"/>
        <v>59456270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803</v>
      </c>
      <c r="H36" s="36">
        <f t="shared" si="2"/>
        <v>0</v>
      </c>
      <c r="I36" s="11">
        <f t="shared" si="3"/>
        <v>0</v>
      </c>
      <c r="J36" s="53">
        <f t="shared" si="4"/>
        <v>17395389</v>
      </c>
      <c r="K36" s="53">
        <f t="shared" si="5"/>
        <v>-17395389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793</v>
      </c>
      <c r="H37" s="36">
        <f t="shared" si="2"/>
        <v>0</v>
      </c>
      <c r="I37" s="11">
        <f t="shared" si="3"/>
        <v>-43615000</v>
      </c>
      <c r="J37" s="53">
        <f t="shared" si="4"/>
        <v>0</v>
      </c>
      <c r="K37" s="53">
        <f t="shared" si="5"/>
        <v>-43615000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792</v>
      </c>
      <c r="H38" s="36">
        <f t="shared" si="2"/>
        <v>1</v>
      </c>
      <c r="I38" s="11">
        <f t="shared" si="3"/>
        <v>2373000000</v>
      </c>
      <c r="J38" s="53">
        <f t="shared" si="4"/>
        <v>2373000000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791</v>
      </c>
      <c r="H39" s="36">
        <f t="shared" si="2"/>
        <v>1</v>
      </c>
      <c r="I39" s="11">
        <f t="shared" si="3"/>
        <v>1975000000</v>
      </c>
      <c r="J39" s="53">
        <f t="shared" si="4"/>
        <v>1975000000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791</v>
      </c>
      <c r="H40" s="36">
        <f t="shared" si="2"/>
        <v>0</v>
      </c>
      <c r="I40" s="11">
        <f t="shared" si="3"/>
        <v>-39550000</v>
      </c>
      <c r="J40" s="53">
        <f t="shared" si="4"/>
        <v>0</v>
      </c>
      <c r="K40" s="53">
        <f t="shared" si="5"/>
        <v>-39550000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791</v>
      </c>
      <c r="H41" s="36">
        <f t="shared" si="2"/>
        <v>1</v>
      </c>
      <c r="I41" s="11">
        <f t="shared" si="3"/>
        <v>2370000000</v>
      </c>
      <c r="J41" s="53">
        <f t="shared" si="4"/>
        <v>0</v>
      </c>
      <c r="K41" s="53">
        <f t="shared" si="5"/>
        <v>2370000000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788</v>
      </c>
      <c r="H42" s="36">
        <f t="shared" si="2"/>
        <v>0</v>
      </c>
      <c r="I42" s="11">
        <f t="shared" si="3"/>
        <v>-70289600</v>
      </c>
      <c r="J42" s="53">
        <f t="shared" si="4"/>
        <v>0</v>
      </c>
      <c r="K42" s="53">
        <f t="shared" si="5"/>
        <v>-70289600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784</v>
      </c>
      <c r="H43" s="36">
        <f t="shared" si="2"/>
        <v>0</v>
      </c>
      <c r="I43" s="11">
        <f t="shared" si="3"/>
        <v>-156800000</v>
      </c>
      <c r="J43" s="53">
        <f t="shared" si="4"/>
        <v>0</v>
      </c>
      <c r="K43" s="53">
        <f t="shared" si="5"/>
        <v>-156800000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782</v>
      </c>
      <c r="H44" s="36">
        <f t="shared" si="2"/>
        <v>0</v>
      </c>
      <c r="I44" s="11">
        <f t="shared" si="3"/>
        <v>-156400000</v>
      </c>
      <c r="J44" s="53">
        <f t="shared" si="4"/>
        <v>0</v>
      </c>
      <c r="K44" s="53">
        <f t="shared" si="5"/>
        <v>-156400000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782</v>
      </c>
      <c r="H45" s="36">
        <f t="shared" si="2"/>
        <v>0</v>
      </c>
      <c r="I45" s="11">
        <f t="shared" si="3"/>
        <v>-437920000</v>
      </c>
      <c r="J45" s="53">
        <f t="shared" si="4"/>
        <v>0</v>
      </c>
      <c r="K45" s="53">
        <f t="shared" si="5"/>
        <v>-437920000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778</v>
      </c>
      <c r="H46" s="36">
        <f t="shared" si="2"/>
        <v>0</v>
      </c>
      <c r="I46" s="11">
        <f t="shared" si="3"/>
        <v>-548879000</v>
      </c>
      <c r="J46" s="53">
        <f t="shared" si="4"/>
        <v>0</v>
      </c>
      <c r="K46" s="53">
        <f t="shared" si="5"/>
        <v>-548879000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772</v>
      </c>
      <c r="H47" s="36">
        <f t="shared" si="2"/>
        <v>1</v>
      </c>
      <c r="I47" s="11">
        <f t="shared" si="3"/>
        <v>31768284</v>
      </c>
      <c r="J47" s="53">
        <f t="shared" si="4"/>
        <v>5175723</v>
      </c>
      <c r="K47" s="53">
        <f t="shared" si="5"/>
        <v>26592561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772</v>
      </c>
      <c r="H48" s="36">
        <f t="shared" si="2"/>
        <v>1</v>
      </c>
      <c r="I48" s="11">
        <f t="shared" si="3"/>
        <v>1314323700</v>
      </c>
      <c r="J48" s="53">
        <f t="shared" si="4"/>
        <v>0</v>
      </c>
      <c r="K48" s="53">
        <f t="shared" si="5"/>
        <v>1314323700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763</v>
      </c>
      <c r="H49" s="36">
        <f t="shared" si="2"/>
        <v>0</v>
      </c>
      <c r="I49" s="11">
        <f t="shared" si="3"/>
        <v>-118265000</v>
      </c>
      <c r="J49" s="53">
        <f t="shared" si="4"/>
        <v>0</v>
      </c>
      <c r="K49" s="53">
        <f t="shared" si="5"/>
        <v>-118265000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763</v>
      </c>
      <c r="H50" s="36">
        <f t="shared" si="2"/>
        <v>0</v>
      </c>
      <c r="I50" s="11">
        <f t="shared" si="3"/>
        <v>-105294000</v>
      </c>
      <c r="J50" s="53">
        <f t="shared" si="4"/>
        <v>0</v>
      </c>
      <c r="K50" s="53">
        <f t="shared" si="5"/>
        <v>-105294000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763</v>
      </c>
      <c r="H51" s="36">
        <f t="shared" si="2"/>
        <v>0</v>
      </c>
      <c r="I51" s="11">
        <f t="shared" si="3"/>
        <v>-564620000</v>
      </c>
      <c r="J51" s="53">
        <f t="shared" si="4"/>
        <v>0</v>
      </c>
      <c r="K51" s="53">
        <f t="shared" si="5"/>
        <v>-564620000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763</v>
      </c>
      <c r="H52" s="36">
        <f t="shared" si="2"/>
        <v>0</v>
      </c>
      <c r="I52" s="11">
        <f t="shared" si="3"/>
        <v>-152600000</v>
      </c>
      <c r="J52" s="53">
        <f t="shared" si="4"/>
        <v>0</v>
      </c>
      <c r="K52" s="53">
        <f t="shared" si="5"/>
        <v>-152600000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762</v>
      </c>
      <c r="H53" s="36">
        <f t="shared" si="2"/>
        <v>0</v>
      </c>
      <c r="I53" s="11">
        <f t="shared" si="3"/>
        <v>-803910000</v>
      </c>
      <c r="J53" s="53">
        <f t="shared" si="4"/>
        <v>0</v>
      </c>
      <c r="K53" s="53">
        <f t="shared" si="5"/>
        <v>-803910000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762</v>
      </c>
      <c r="H54" s="36">
        <f t="shared" si="2"/>
        <v>0</v>
      </c>
      <c r="I54" s="11">
        <f t="shared" si="3"/>
        <v>-152400000</v>
      </c>
      <c r="J54" s="53">
        <f t="shared" si="4"/>
        <v>0</v>
      </c>
      <c r="K54" s="53">
        <f t="shared" si="5"/>
        <v>-152400000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762</v>
      </c>
      <c r="H55" s="36">
        <f t="shared" si="2"/>
        <v>0</v>
      </c>
      <c r="I55" s="11">
        <f t="shared" si="3"/>
        <v>-762381000</v>
      </c>
      <c r="J55" s="53">
        <f t="shared" si="4"/>
        <v>0</v>
      </c>
      <c r="K55" s="53">
        <f t="shared" si="5"/>
        <v>-762381000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762</v>
      </c>
      <c r="H56" s="36">
        <f t="shared" si="2"/>
        <v>0</v>
      </c>
      <c r="I56" s="11">
        <f t="shared" si="3"/>
        <v>-28956000</v>
      </c>
      <c r="J56" s="53">
        <f t="shared" si="4"/>
        <v>0</v>
      </c>
      <c r="K56" s="53">
        <f t="shared" si="5"/>
        <v>-28956000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762</v>
      </c>
      <c r="H57" s="36">
        <f t="shared" si="2"/>
        <v>0</v>
      </c>
      <c r="I57" s="11">
        <f t="shared" si="3"/>
        <v>-80010000</v>
      </c>
      <c r="J57" s="53">
        <f t="shared" si="4"/>
        <v>0</v>
      </c>
      <c r="K57" s="53">
        <f t="shared" si="5"/>
        <v>-80010000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762</v>
      </c>
      <c r="H58" s="36">
        <f t="shared" si="2"/>
        <v>0</v>
      </c>
      <c r="I58" s="11">
        <f t="shared" si="3"/>
        <v>-45720000</v>
      </c>
      <c r="J58" s="53">
        <f t="shared" si="4"/>
        <v>0</v>
      </c>
      <c r="K58" s="53">
        <f t="shared" si="5"/>
        <v>-45720000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759</v>
      </c>
      <c r="H59" s="36">
        <f t="shared" si="2"/>
        <v>1</v>
      </c>
      <c r="I59" s="11">
        <f t="shared" si="3"/>
        <v>758000000</v>
      </c>
      <c r="J59" s="53">
        <f t="shared" si="4"/>
        <v>758000000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758</v>
      </c>
      <c r="H60" s="36">
        <f t="shared" si="2"/>
        <v>1</v>
      </c>
      <c r="I60" s="11">
        <f t="shared" si="3"/>
        <v>2649500000</v>
      </c>
      <c r="J60" s="53">
        <f t="shared" si="4"/>
        <v>2649500000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756</v>
      </c>
      <c r="H61" s="36">
        <f t="shared" si="2"/>
        <v>1</v>
      </c>
      <c r="I61" s="11">
        <f t="shared" si="3"/>
        <v>755000000</v>
      </c>
      <c r="J61" s="53">
        <f t="shared" si="4"/>
        <v>755000000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756</v>
      </c>
      <c r="H62" s="36">
        <f t="shared" si="2"/>
        <v>1</v>
      </c>
      <c r="I62" s="11">
        <f t="shared" si="3"/>
        <v>2265000000</v>
      </c>
      <c r="J62" s="53">
        <f t="shared" si="4"/>
        <v>2265000000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754</v>
      </c>
      <c r="H63" s="36">
        <f t="shared" si="2"/>
        <v>0</v>
      </c>
      <c r="I63" s="11">
        <f t="shared" si="3"/>
        <v>-150800000</v>
      </c>
      <c r="J63" s="53">
        <f t="shared" si="4"/>
        <v>0</v>
      </c>
      <c r="K63" s="53">
        <f t="shared" si="5"/>
        <v>-150800000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749</v>
      </c>
      <c r="H64" s="36">
        <f t="shared" si="2"/>
        <v>0</v>
      </c>
      <c r="I64" s="11">
        <f t="shared" si="3"/>
        <v>-37450000</v>
      </c>
      <c r="J64" s="53">
        <f t="shared" si="4"/>
        <v>0</v>
      </c>
      <c r="K64" s="53">
        <f t="shared" si="5"/>
        <v>-37450000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745</v>
      </c>
      <c r="H65" s="36">
        <f t="shared" si="2"/>
        <v>0</v>
      </c>
      <c r="I65" s="11">
        <f t="shared" si="3"/>
        <v>-149000000</v>
      </c>
      <c r="J65" s="53">
        <f t="shared" si="4"/>
        <v>0</v>
      </c>
      <c r="K65" s="53">
        <f t="shared" si="5"/>
        <v>-149000000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742</v>
      </c>
      <c r="H66" s="36">
        <f t="shared" si="2"/>
        <v>0</v>
      </c>
      <c r="I66" s="11">
        <f t="shared" si="3"/>
        <v>-126140000</v>
      </c>
      <c r="J66" s="53">
        <f t="shared" si="4"/>
        <v>0</v>
      </c>
      <c r="K66" s="53">
        <f t="shared" si="5"/>
        <v>-126140000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741</v>
      </c>
      <c r="H67" s="36">
        <f t="shared" ref="H67:H131" si="8">IF(B67&gt;0,1,0)</f>
        <v>1</v>
      </c>
      <c r="I67" s="11">
        <f t="shared" ref="I67:I119" si="9">B67*(G67-H67)</f>
        <v>67580500</v>
      </c>
      <c r="J67" s="53">
        <f t="shared" ref="J67:J131" si="10">C67*(G67-H67)</f>
        <v>48635020</v>
      </c>
      <c r="K67" s="53">
        <f t="shared" ref="K67:K131" si="11">D67*(G67-H67)</f>
        <v>18945480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723</v>
      </c>
      <c r="H68" s="36">
        <f t="shared" si="8"/>
        <v>0</v>
      </c>
      <c r="I68" s="11">
        <f t="shared" si="9"/>
        <v>-104835000</v>
      </c>
      <c r="J68" s="53">
        <f t="shared" si="10"/>
        <v>0</v>
      </c>
      <c r="K68" s="53">
        <f t="shared" si="11"/>
        <v>-104835000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716</v>
      </c>
      <c r="H69" s="36">
        <f t="shared" si="8"/>
        <v>1</v>
      </c>
      <c r="I69" s="11">
        <f t="shared" si="9"/>
        <v>700700000</v>
      </c>
      <c r="J69" s="53">
        <f t="shared" si="10"/>
        <v>0</v>
      </c>
      <c r="K69" s="53">
        <f t="shared" si="11"/>
        <v>700700000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713</v>
      </c>
      <c r="H70" s="36">
        <f t="shared" si="8"/>
        <v>0</v>
      </c>
      <c r="I70" s="11">
        <f t="shared" si="9"/>
        <v>-32798000</v>
      </c>
      <c r="J70" s="53">
        <f t="shared" si="10"/>
        <v>0</v>
      </c>
      <c r="K70" s="53">
        <f t="shared" si="11"/>
        <v>-32798000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711</v>
      </c>
      <c r="H71" s="36">
        <f t="shared" si="8"/>
        <v>1</v>
      </c>
      <c r="I71" s="11">
        <f t="shared" si="9"/>
        <v>81889980</v>
      </c>
      <c r="J71" s="53">
        <f t="shared" si="10"/>
        <v>73706520</v>
      </c>
      <c r="K71" s="53">
        <f t="shared" si="11"/>
        <v>8183460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710</v>
      </c>
      <c r="H72" s="36">
        <f t="shared" si="8"/>
        <v>0</v>
      </c>
      <c r="I72" s="11">
        <f t="shared" si="9"/>
        <v>-107897990</v>
      </c>
      <c r="J72" s="53">
        <f t="shared" si="10"/>
        <v>0</v>
      </c>
      <c r="K72" s="53">
        <f t="shared" si="11"/>
        <v>-107897990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709</v>
      </c>
      <c r="H73" s="36">
        <f t="shared" si="8"/>
        <v>0</v>
      </c>
      <c r="I73" s="11">
        <f t="shared" si="9"/>
        <v>-571099500</v>
      </c>
      <c r="J73" s="53">
        <f t="shared" si="10"/>
        <v>0</v>
      </c>
      <c r="K73" s="53">
        <f t="shared" si="11"/>
        <v>-571099500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702</v>
      </c>
      <c r="H74" s="36">
        <f t="shared" si="8"/>
        <v>1</v>
      </c>
      <c r="I74" s="11">
        <f t="shared" si="9"/>
        <v>4903495000</v>
      </c>
      <c r="J74" s="53">
        <f t="shared" si="10"/>
        <v>0</v>
      </c>
      <c r="K74" s="53">
        <f t="shared" si="11"/>
        <v>4903495000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701</v>
      </c>
      <c r="H75" s="36">
        <f t="shared" si="8"/>
        <v>1</v>
      </c>
      <c r="I75" s="11">
        <f t="shared" si="9"/>
        <v>2100000000</v>
      </c>
      <c r="J75" s="53">
        <f t="shared" si="10"/>
        <v>0</v>
      </c>
      <c r="K75" s="53">
        <f t="shared" si="11"/>
        <v>2100000000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699</v>
      </c>
      <c r="H76" s="36">
        <f t="shared" si="8"/>
        <v>1</v>
      </c>
      <c r="I76" s="11">
        <f t="shared" si="9"/>
        <v>2094000000</v>
      </c>
      <c r="J76" s="53">
        <f t="shared" si="10"/>
        <v>0</v>
      </c>
      <c r="K76" s="53">
        <f t="shared" si="11"/>
        <v>2094000000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698</v>
      </c>
      <c r="H77" s="36">
        <f t="shared" si="8"/>
        <v>1</v>
      </c>
      <c r="I77" s="11">
        <f t="shared" si="9"/>
        <v>2091000000</v>
      </c>
      <c r="J77" s="53">
        <f t="shared" si="10"/>
        <v>0</v>
      </c>
      <c r="K77" s="53">
        <f t="shared" si="11"/>
        <v>2091000000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697</v>
      </c>
      <c r="H78" s="36">
        <f t="shared" si="8"/>
        <v>0</v>
      </c>
      <c r="I78" s="11">
        <f t="shared" si="9"/>
        <v>-2230400000</v>
      </c>
      <c r="J78" s="53">
        <f t="shared" si="10"/>
        <v>-2230400000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696</v>
      </c>
      <c r="H79" s="36">
        <f t="shared" si="8"/>
        <v>0</v>
      </c>
      <c r="I79" s="11">
        <f t="shared" si="9"/>
        <v>-556800000</v>
      </c>
      <c r="J79" s="53">
        <f t="shared" si="10"/>
        <v>-556800000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695</v>
      </c>
      <c r="H80" s="36">
        <f t="shared" si="8"/>
        <v>0</v>
      </c>
      <c r="I80" s="11">
        <f t="shared" si="9"/>
        <v>-33633135</v>
      </c>
      <c r="J80" s="53">
        <f t="shared" si="10"/>
        <v>0</v>
      </c>
      <c r="K80" s="53">
        <f t="shared" si="11"/>
        <v>-33633135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694</v>
      </c>
      <c r="H81" s="36">
        <f t="shared" si="8"/>
        <v>0</v>
      </c>
      <c r="I81" s="11">
        <f t="shared" si="9"/>
        <v>-97160000</v>
      </c>
      <c r="J81" s="53">
        <f t="shared" si="10"/>
        <v>0</v>
      </c>
      <c r="K81" s="53">
        <f t="shared" si="11"/>
        <v>-97160000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693</v>
      </c>
      <c r="H82" s="36">
        <f t="shared" si="8"/>
        <v>0</v>
      </c>
      <c r="I82" s="11">
        <f t="shared" si="9"/>
        <v>-173250000</v>
      </c>
      <c r="J82" s="53">
        <f t="shared" si="10"/>
        <v>0</v>
      </c>
      <c r="K82" s="53">
        <f t="shared" si="11"/>
        <v>-173250000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692</v>
      </c>
      <c r="H83" s="36">
        <f t="shared" si="8"/>
        <v>0</v>
      </c>
      <c r="I83" s="11">
        <f t="shared" si="9"/>
        <v>-138400000</v>
      </c>
      <c r="J83" s="53">
        <f t="shared" si="10"/>
        <v>0</v>
      </c>
      <c r="K83" s="53">
        <f t="shared" si="11"/>
        <v>-138400000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689</v>
      </c>
      <c r="H84" s="36">
        <f t="shared" si="8"/>
        <v>1</v>
      </c>
      <c r="I84" s="11">
        <f t="shared" si="9"/>
        <v>1125017600</v>
      </c>
      <c r="J84" s="53">
        <f t="shared" si="10"/>
        <v>0</v>
      </c>
      <c r="K84" s="53">
        <f t="shared" si="11"/>
        <v>1125017600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685</v>
      </c>
      <c r="H85" s="36">
        <f t="shared" si="8"/>
        <v>1</v>
      </c>
      <c r="I85" s="11">
        <f t="shared" si="9"/>
        <v>1710000000</v>
      </c>
      <c r="J85" s="53">
        <f t="shared" si="10"/>
        <v>0</v>
      </c>
      <c r="K85" s="53">
        <f t="shared" si="11"/>
        <v>1710000000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681</v>
      </c>
      <c r="H86" s="36">
        <f t="shared" si="8"/>
        <v>1</v>
      </c>
      <c r="I86" s="11">
        <f t="shared" si="9"/>
        <v>126684000</v>
      </c>
      <c r="J86" s="53">
        <f t="shared" si="10"/>
        <v>57766000</v>
      </c>
      <c r="K86" s="53">
        <f t="shared" si="11"/>
        <v>68918000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678</v>
      </c>
      <c r="H87" s="36">
        <f t="shared" si="8"/>
        <v>0</v>
      </c>
      <c r="I87" s="11">
        <f t="shared" si="9"/>
        <v>-135600000</v>
      </c>
      <c r="J87" s="53">
        <f t="shared" si="10"/>
        <v>0</v>
      </c>
      <c r="K87" s="53">
        <f t="shared" si="11"/>
        <v>-135600000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677</v>
      </c>
      <c r="H88" s="36">
        <f t="shared" si="8"/>
        <v>0</v>
      </c>
      <c r="I88" s="11">
        <f t="shared" si="9"/>
        <v>-79886000</v>
      </c>
      <c r="J88" s="53">
        <f t="shared" si="10"/>
        <v>-46713000</v>
      </c>
      <c r="K88" s="53">
        <f t="shared" si="11"/>
        <v>-33173000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669</v>
      </c>
      <c r="H89" s="36">
        <f t="shared" si="8"/>
        <v>0</v>
      </c>
      <c r="I89" s="11">
        <f t="shared" si="9"/>
        <v>-2141402100</v>
      </c>
      <c r="J89" s="53">
        <f t="shared" si="10"/>
        <v>0</v>
      </c>
      <c r="K89" s="53">
        <f t="shared" si="11"/>
        <v>-2141402100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668</v>
      </c>
      <c r="H90" s="36">
        <f t="shared" si="8"/>
        <v>0</v>
      </c>
      <c r="I90" s="11">
        <f t="shared" si="9"/>
        <v>-2138201200</v>
      </c>
      <c r="J90" s="53">
        <f t="shared" si="10"/>
        <v>0</v>
      </c>
      <c r="K90" s="53">
        <f t="shared" si="11"/>
        <v>-2138201200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667</v>
      </c>
      <c r="H91" s="36">
        <f t="shared" si="8"/>
        <v>0</v>
      </c>
      <c r="I91" s="11">
        <f t="shared" si="9"/>
        <v>-2135000300</v>
      </c>
      <c r="J91" s="53">
        <f t="shared" si="10"/>
        <v>0</v>
      </c>
      <c r="K91" s="53">
        <f t="shared" si="11"/>
        <v>-2135000300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666</v>
      </c>
      <c r="H92" s="36">
        <f t="shared" si="8"/>
        <v>0</v>
      </c>
      <c r="I92" s="11">
        <f t="shared" si="9"/>
        <v>-2131799400</v>
      </c>
      <c r="J92" s="53">
        <f t="shared" si="10"/>
        <v>0</v>
      </c>
      <c r="K92" s="53">
        <f t="shared" si="11"/>
        <v>-2131799400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665</v>
      </c>
      <c r="H93" s="36">
        <f t="shared" si="8"/>
        <v>0</v>
      </c>
      <c r="I93" s="11">
        <f t="shared" si="9"/>
        <v>-2128598500</v>
      </c>
      <c r="J93" s="53">
        <f t="shared" si="10"/>
        <v>0</v>
      </c>
      <c r="K93" s="53">
        <f t="shared" si="11"/>
        <v>-2128598500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664</v>
      </c>
      <c r="H94" s="36">
        <f t="shared" si="8"/>
        <v>0</v>
      </c>
      <c r="I94" s="11">
        <f t="shared" si="9"/>
        <v>-2125397600</v>
      </c>
      <c r="J94" s="53">
        <f t="shared" si="10"/>
        <v>0</v>
      </c>
      <c r="K94" s="53">
        <f t="shared" si="11"/>
        <v>-2125397600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662</v>
      </c>
      <c r="H95" s="36">
        <f t="shared" si="8"/>
        <v>0</v>
      </c>
      <c r="I95" s="11">
        <f t="shared" si="9"/>
        <v>-792146552</v>
      </c>
      <c r="J95" s="53">
        <f t="shared" si="10"/>
        <v>0</v>
      </c>
      <c r="K95" s="53">
        <f t="shared" si="11"/>
        <v>-792146552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652</v>
      </c>
      <c r="H96" s="36">
        <f t="shared" si="8"/>
        <v>0</v>
      </c>
      <c r="I96" s="11">
        <f t="shared" si="9"/>
        <v>-130400000</v>
      </c>
      <c r="J96" s="53">
        <f t="shared" si="10"/>
        <v>0</v>
      </c>
      <c r="K96" s="53">
        <f t="shared" si="11"/>
        <v>-130400000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651</v>
      </c>
      <c r="H97" s="36">
        <f t="shared" si="8"/>
        <v>1</v>
      </c>
      <c r="I97" s="11">
        <f t="shared" si="9"/>
        <v>103712700</v>
      </c>
      <c r="J97" s="53">
        <f t="shared" si="10"/>
        <v>44801900</v>
      </c>
      <c r="K97" s="53">
        <f t="shared" si="11"/>
        <v>58910800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646</v>
      </c>
      <c r="H98" s="36">
        <f t="shared" si="8"/>
        <v>1</v>
      </c>
      <c r="I98" s="11">
        <f t="shared" si="9"/>
        <v>73767360</v>
      </c>
      <c r="J98" s="53">
        <f t="shared" si="10"/>
        <v>0</v>
      </c>
      <c r="K98" s="53">
        <f t="shared" si="11"/>
        <v>73767360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643</v>
      </c>
      <c r="H99" s="36">
        <f t="shared" si="8"/>
        <v>0</v>
      </c>
      <c r="I99" s="11">
        <f t="shared" si="9"/>
        <v>-851975000</v>
      </c>
      <c r="J99" s="53">
        <f t="shared" si="10"/>
        <v>0</v>
      </c>
      <c r="K99" s="53">
        <f t="shared" si="11"/>
        <v>-851975000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638</v>
      </c>
      <c r="H100" s="36">
        <f t="shared" si="8"/>
        <v>1</v>
      </c>
      <c r="I100" s="11">
        <f t="shared" si="9"/>
        <v>844025000</v>
      </c>
      <c r="J100" s="53">
        <f t="shared" si="10"/>
        <v>0</v>
      </c>
      <c r="K100" s="53">
        <f t="shared" si="11"/>
        <v>844025000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621</v>
      </c>
      <c r="H101" s="36">
        <f t="shared" si="8"/>
        <v>1</v>
      </c>
      <c r="I101" s="11">
        <f t="shared" si="9"/>
        <v>41443900</v>
      </c>
      <c r="J101" s="53">
        <f t="shared" si="10"/>
        <v>41443900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618</v>
      </c>
      <c r="H102" s="36">
        <f t="shared" si="8"/>
        <v>1</v>
      </c>
      <c r="I102" s="11">
        <f t="shared" si="9"/>
        <v>1851000000</v>
      </c>
      <c r="J102" s="53">
        <f t="shared" si="10"/>
        <v>0</v>
      </c>
      <c r="K102" s="53">
        <f t="shared" si="11"/>
        <v>1851000000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611</v>
      </c>
      <c r="H103" s="36">
        <f t="shared" si="8"/>
        <v>0</v>
      </c>
      <c r="I103" s="11">
        <f t="shared" si="9"/>
        <v>-611000000</v>
      </c>
      <c r="J103" s="53">
        <f t="shared" si="10"/>
        <v>-611000000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601</v>
      </c>
      <c r="H104" s="36">
        <f t="shared" si="8"/>
        <v>1</v>
      </c>
      <c r="I104" s="11">
        <f t="shared" si="9"/>
        <v>1800000000</v>
      </c>
      <c r="J104" s="53">
        <f t="shared" si="10"/>
        <v>1800000000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600</v>
      </c>
      <c r="H105" s="36">
        <f t="shared" si="8"/>
        <v>1</v>
      </c>
      <c r="I105" s="11">
        <f t="shared" si="9"/>
        <v>670880000</v>
      </c>
      <c r="J105" s="53">
        <f t="shared" si="10"/>
        <v>670880000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600</v>
      </c>
      <c r="H106" s="36">
        <f t="shared" si="8"/>
        <v>0</v>
      </c>
      <c r="I106" s="11">
        <f t="shared" si="9"/>
        <v>-1800000000</v>
      </c>
      <c r="J106" s="53">
        <f t="shared" si="10"/>
        <v>0</v>
      </c>
      <c r="K106" s="53">
        <f t="shared" si="11"/>
        <v>-1800000000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591</v>
      </c>
      <c r="H107" s="36">
        <f t="shared" si="8"/>
        <v>1</v>
      </c>
      <c r="I107" s="11">
        <f t="shared" si="9"/>
        <v>53391460</v>
      </c>
      <c r="J107" s="53">
        <f t="shared" si="10"/>
        <v>44317850</v>
      </c>
      <c r="K107" s="53">
        <f t="shared" si="11"/>
        <v>9073610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589</v>
      </c>
      <c r="H108" s="36">
        <f t="shared" si="8"/>
        <v>0</v>
      </c>
      <c r="I108" s="11">
        <f t="shared" si="9"/>
        <v>-1001712300</v>
      </c>
      <c r="J108" s="53">
        <f t="shared" si="10"/>
        <v>0</v>
      </c>
      <c r="K108" s="53">
        <f t="shared" si="11"/>
        <v>-1001712300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585</v>
      </c>
      <c r="H109" s="36">
        <f t="shared" si="8"/>
        <v>0</v>
      </c>
      <c r="I109" s="11">
        <f t="shared" si="9"/>
        <v>-585292500</v>
      </c>
      <c r="J109" s="53">
        <f t="shared" si="10"/>
        <v>0</v>
      </c>
      <c r="K109" s="53">
        <f t="shared" si="11"/>
        <v>-585292500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582</v>
      </c>
      <c r="H110" s="36">
        <f t="shared" si="8"/>
        <v>1</v>
      </c>
      <c r="I110" s="11">
        <f t="shared" si="9"/>
        <v>11620000000</v>
      </c>
      <c r="J110" s="53">
        <f t="shared" si="10"/>
        <v>0</v>
      </c>
      <c r="K110" s="53">
        <f t="shared" si="11"/>
        <v>11620000000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562</v>
      </c>
      <c r="H111" s="36">
        <f t="shared" si="8"/>
        <v>1</v>
      </c>
      <c r="I111" s="11">
        <f t="shared" si="9"/>
        <v>97994358</v>
      </c>
      <c r="J111" s="53">
        <f t="shared" si="10"/>
        <v>49010643</v>
      </c>
      <c r="K111" s="53">
        <f t="shared" si="11"/>
        <v>48983715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546</v>
      </c>
      <c r="H112" s="36">
        <f t="shared" si="8"/>
        <v>0</v>
      </c>
      <c r="I112" s="11">
        <f t="shared" si="9"/>
        <v>-15506400000</v>
      </c>
      <c r="J112" s="53">
        <f t="shared" si="10"/>
        <v>0</v>
      </c>
      <c r="K112" s="53">
        <f t="shared" si="11"/>
        <v>-15506400000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531</v>
      </c>
      <c r="H113" s="36">
        <f t="shared" si="8"/>
        <v>1</v>
      </c>
      <c r="I113" s="11">
        <f t="shared" si="9"/>
        <v>86411200</v>
      </c>
      <c r="J113" s="53">
        <f t="shared" si="10"/>
        <v>64930830</v>
      </c>
      <c r="K113" s="53">
        <f t="shared" si="11"/>
        <v>21480370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531</v>
      </c>
      <c r="H114" s="36">
        <f t="shared" si="8"/>
        <v>0</v>
      </c>
      <c r="I114" s="11">
        <f t="shared" si="9"/>
        <v>-3026700</v>
      </c>
      <c r="J114" s="53">
        <f t="shared" si="10"/>
        <v>-1327500</v>
      </c>
      <c r="K114" s="53">
        <f t="shared" si="11"/>
        <v>-1699200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518</v>
      </c>
      <c r="H115" s="36">
        <f t="shared" si="8"/>
        <v>0</v>
      </c>
      <c r="I115" s="11">
        <f t="shared" si="9"/>
        <v>0</v>
      </c>
      <c r="J115" s="53">
        <f t="shared" si="10"/>
        <v>259000000</v>
      </c>
      <c r="K115" s="53">
        <f t="shared" si="11"/>
        <v>-259000000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510</v>
      </c>
      <c r="H116" s="36">
        <f t="shared" si="8"/>
        <v>0</v>
      </c>
      <c r="I116" s="11">
        <f t="shared" si="9"/>
        <v>-81600000</v>
      </c>
      <c r="J116" s="53">
        <f t="shared" si="10"/>
        <v>0</v>
      </c>
      <c r="K116" s="53">
        <f t="shared" si="11"/>
        <v>-81600000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501</v>
      </c>
      <c r="H117" s="36">
        <f t="shared" si="8"/>
        <v>1</v>
      </c>
      <c r="I117" s="11">
        <f t="shared" si="9"/>
        <v>740000</v>
      </c>
      <c r="J117" s="53">
        <f t="shared" si="10"/>
        <v>53470500</v>
      </c>
      <c r="K117" s="53">
        <f t="shared" si="11"/>
        <v>-52730500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479</v>
      </c>
      <c r="H118" s="36">
        <f t="shared" si="8"/>
        <v>1</v>
      </c>
      <c r="I118" s="11">
        <f t="shared" si="9"/>
        <v>18832961000</v>
      </c>
      <c r="J118" s="53">
        <f t="shared" si="10"/>
        <v>0</v>
      </c>
      <c r="K118" s="53">
        <f t="shared" si="11"/>
        <v>18832961000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470</v>
      </c>
      <c r="H119" s="36">
        <f t="shared" si="8"/>
        <v>1</v>
      </c>
      <c r="I119" s="11">
        <f t="shared" si="9"/>
        <v>44799349</v>
      </c>
      <c r="J119" s="53">
        <f t="shared" si="10"/>
        <v>51615326</v>
      </c>
      <c r="K119" s="53">
        <f t="shared" si="11"/>
        <v>-6815977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466</v>
      </c>
      <c r="H120" s="11">
        <f t="shared" si="8"/>
        <v>1</v>
      </c>
      <c r="I120" s="11">
        <f t="shared" ref="I120:I266" si="13">B120*(G120-H120)</f>
        <v>930000000</v>
      </c>
      <c r="J120" s="11">
        <f t="shared" si="10"/>
        <v>0</v>
      </c>
      <c r="K120" s="11">
        <f t="shared" si="11"/>
        <v>930000000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440</v>
      </c>
      <c r="H121" s="11">
        <f t="shared" si="8"/>
        <v>1</v>
      </c>
      <c r="I121" s="11">
        <f t="shared" si="13"/>
        <v>1141400000</v>
      </c>
      <c r="J121" s="11">
        <f t="shared" si="10"/>
        <v>0</v>
      </c>
      <c r="K121" s="11">
        <f t="shared" si="11"/>
        <v>1141400000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439</v>
      </c>
      <c r="H122" s="11">
        <f t="shared" si="8"/>
        <v>1</v>
      </c>
      <c r="I122" s="11">
        <f t="shared" si="13"/>
        <v>168433338</v>
      </c>
      <c r="J122" s="11">
        <f t="shared" si="10"/>
        <v>48577704</v>
      </c>
      <c r="K122" s="11">
        <f t="shared" si="11"/>
        <v>119855634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438</v>
      </c>
      <c r="H123" s="11">
        <f t="shared" si="8"/>
        <v>0</v>
      </c>
      <c r="I123" s="11">
        <f t="shared" si="13"/>
        <v>0</v>
      </c>
      <c r="J123" s="11">
        <f t="shared" si="10"/>
        <v>350400000</v>
      </c>
      <c r="K123" s="11">
        <f t="shared" si="11"/>
        <v>-350400000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424</v>
      </c>
      <c r="H124" s="11">
        <f t="shared" si="8"/>
        <v>0</v>
      </c>
      <c r="I124" s="11">
        <f t="shared" si="13"/>
        <v>-1272000000</v>
      </c>
      <c r="J124" s="11">
        <f t="shared" si="10"/>
        <v>0</v>
      </c>
      <c r="K124" s="11">
        <f t="shared" si="11"/>
        <v>-1272000000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409</v>
      </c>
      <c r="H125" s="11">
        <f t="shared" si="8"/>
        <v>1</v>
      </c>
      <c r="I125" s="11">
        <f t="shared" si="13"/>
        <v>163489680</v>
      </c>
      <c r="J125" s="11">
        <f t="shared" si="10"/>
        <v>48501000</v>
      </c>
      <c r="K125" s="11">
        <f t="shared" si="11"/>
        <v>114988680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409</v>
      </c>
      <c r="H126" s="11">
        <f t="shared" si="8"/>
        <v>1</v>
      </c>
      <c r="I126" s="11">
        <f t="shared" si="13"/>
        <v>17136000000</v>
      </c>
      <c r="J126" s="11">
        <f t="shared" si="10"/>
        <v>0</v>
      </c>
      <c r="K126" s="11">
        <f t="shared" si="11"/>
        <v>17136000000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384</v>
      </c>
      <c r="H127" s="11">
        <f t="shared" si="8"/>
        <v>0</v>
      </c>
      <c r="I127" s="11">
        <f t="shared" si="13"/>
        <v>-1920000</v>
      </c>
      <c r="J127" s="11">
        <f t="shared" si="10"/>
        <v>0</v>
      </c>
      <c r="K127" s="11">
        <f t="shared" si="11"/>
        <v>-1920000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378</v>
      </c>
      <c r="H128" s="11">
        <f t="shared" si="8"/>
        <v>1</v>
      </c>
      <c r="I128" s="11">
        <f t="shared" si="13"/>
        <v>290807998</v>
      </c>
      <c r="J128" s="11">
        <f t="shared" si="10"/>
        <v>45502769</v>
      </c>
      <c r="K128" s="11">
        <f t="shared" si="11"/>
        <v>245305229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375</v>
      </c>
      <c r="H129" s="11">
        <f t="shared" si="8"/>
        <v>1</v>
      </c>
      <c r="I129" s="11">
        <f t="shared" si="13"/>
        <v>935000000</v>
      </c>
      <c r="J129" s="11">
        <f t="shared" si="10"/>
        <v>0</v>
      </c>
      <c r="K129" s="11">
        <f t="shared" si="11"/>
        <v>935000000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361</v>
      </c>
      <c r="H130" s="11">
        <f t="shared" si="8"/>
        <v>0</v>
      </c>
      <c r="I130" s="11">
        <f t="shared" si="13"/>
        <v>-361000000</v>
      </c>
      <c r="J130" s="11">
        <f t="shared" si="10"/>
        <v>-361000000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356</v>
      </c>
      <c r="H131" s="11">
        <f t="shared" si="8"/>
        <v>0</v>
      </c>
      <c r="I131" s="11">
        <f t="shared" si="13"/>
        <v>-17800000000</v>
      </c>
      <c r="J131" s="11">
        <f t="shared" si="10"/>
        <v>0</v>
      </c>
      <c r="K131" s="11">
        <f t="shared" si="11"/>
        <v>-17800000000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348</v>
      </c>
      <c r="H132" s="11">
        <f t="shared" ref="H132:H266" si="15">IF(B132&gt;0,1,0)</f>
        <v>1</v>
      </c>
      <c r="I132" s="11">
        <f t="shared" si="13"/>
        <v>213157589</v>
      </c>
      <c r="J132" s="11">
        <f t="shared" ref="J132:J206" si="16">C132*(G132-H132)</f>
        <v>36771937</v>
      </c>
      <c r="K132" s="11">
        <f t="shared" ref="K132:K266" si="17">D132*(G132-H132)</f>
        <v>176385652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344</v>
      </c>
      <c r="H133" s="11">
        <f t="shared" si="15"/>
        <v>0</v>
      </c>
      <c r="I133" s="11">
        <f t="shared" si="13"/>
        <v>-416480800</v>
      </c>
      <c r="J133" s="11">
        <f t="shared" si="16"/>
        <v>0</v>
      </c>
      <c r="K133" s="11">
        <f t="shared" si="17"/>
        <v>-416480800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335</v>
      </c>
      <c r="H134" s="11">
        <f t="shared" si="15"/>
        <v>0</v>
      </c>
      <c r="I134" s="11">
        <f t="shared" si="13"/>
        <v>-21775000</v>
      </c>
      <c r="J134" s="11">
        <f t="shared" si="16"/>
        <v>0</v>
      </c>
      <c r="K134" s="11">
        <f t="shared" si="17"/>
        <v>-21775000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335</v>
      </c>
      <c r="H135" s="11">
        <f t="shared" si="15"/>
        <v>0</v>
      </c>
      <c r="I135" s="11">
        <f t="shared" si="13"/>
        <v>-10820500</v>
      </c>
      <c r="J135" s="11">
        <f t="shared" si="16"/>
        <v>0</v>
      </c>
      <c r="K135" s="11">
        <f t="shared" si="17"/>
        <v>-10820500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327</v>
      </c>
      <c r="H136" s="11">
        <f t="shared" si="15"/>
        <v>0</v>
      </c>
      <c r="I136" s="11">
        <f t="shared" si="13"/>
        <v>-327000000</v>
      </c>
      <c r="J136" s="11">
        <f t="shared" si="16"/>
        <v>-327000000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318</v>
      </c>
      <c r="H137" s="11">
        <f t="shared" si="15"/>
        <v>1</v>
      </c>
      <c r="I137" s="11">
        <f t="shared" si="13"/>
        <v>92206741</v>
      </c>
      <c r="J137" s="11">
        <f t="shared" si="16"/>
        <v>30862803</v>
      </c>
      <c r="K137" s="11">
        <f t="shared" si="17"/>
        <v>61343938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301</v>
      </c>
      <c r="H138" s="11">
        <f t="shared" si="15"/>
        <v>0</v>
      </c>
      <c r="I138" s="11">
        <f t="shared" si="13"/>
        <v>-301150500</v>
      </c>
      <c r="J138" s="11">
        <f t="shared" si="16"/>
        <v>-301150500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289</v>
      </c>
      <c r="H139" s="11">
        <f t="shared" si="15"/>
        <v>1</v>
      </c>
      <c r="I139" s="11">
        <f t="shared" si="13"/>
        <v>81285120</v>
      </c>
      <c r="J139" s="11">
        <f t="shared" si="16"/>
        <v>25576416</v>
      </c>
      <c r="K139" s="11">
        <f t="shared" si="17"/>
        <v>55708704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286</v>
      </c>
      <c r="H140" s="11">
        <f t="shared" si="15"/>
        <v>1</v>
      </c>
      <c r="I140" s="11">
        <f t="shared" si="13"/>
        <v>427500000</v>
      </c>
      <c r="J140" s="11">
        <f t="shared" si="16"/>
        <v>0</v>
      </c>
      <c r="K140" s="11">
        <f t="shared" si="17"/>
        <v>427500000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273</v>
      </c>
      <c r="H141" s="11">
        <f t="shared" si="15"/>
        <v>0</v>
      </c>
      <c r="I141" s="11">
        <f t="shared" si="13"/>
        <v>0</v>
      </c>
      <c r="J141" s="11">
        <f t="shared" si="16"/>
        <v>-273000000</v>
      </c>
      <c r="K141" s="11">
        <f t="shared" si="17"/>
        <v>273000000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259</v>
      </c>
      <c r="H142" s="11">
        <f t="shared" si="15"/>
        <v>1</v>
      </c>
      <c r="I142" s="11">
        <f t="shared" si="13"/>
        <v>75050394</v>
      </c>
      <c r="J142" s="11">
        <f t="shared" si="16"/>
        <v>20903676</v>
      </c>
      <c r="K142" s="11">
        <f t="shared" si="17"/>
        <v>54146718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239</v>
      </c>
      <c r="H143" s="11">
        <f t="shared" si="15"/>
        <v>0</v>
      </c>
      <c r="I143" s="11">
        <f t="shared" si="13"/>
        <v>0</v>
      </c>
      <c r="J143" s="11">
        <f t="shared" si="16"/>
        <v>-239000000</v>
      </c>
      <c r="K143" s="11">
        <f t="shared" si="17"/>
        <v>239000000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229</v>
      </c>
      <c r="H144" s="11">
        <f t="shared" si="15"/>
        <v>1</v>
      </c>
      <c r="I144" s="11">
        <f t="shared" si="13"/>
        <v>67226256</v>
      </c>
      <c r="J144" s="11">
        <f t="shared" si="16"/>
        <v>17021796</v>
      </c>
      <c r="K144" s="11">
        <f t="shared" si="17"/>
        <v>50204460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214</v>
      </c>
      <c r="H145" s="11">
        <f t="shared" si="15"/>
        <v>0</v>
      </c>
      <c r="I145" s="11">
        <f t="shared" si="13"/>
        <v>-2140000</v>
      </c>
      <c r="J145" s="11">
        <f t="shared" si="16"/>
        <v>-1070000</v>
      </c>
      <c r="K145" s="11">
        <f t="shared" si="17"/>
        <v>-1070000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209</v>
      </c>
      <c r="H146" s="11">
        <f t="shared" si="15"/>
        <v>0</v>
      </c>
      <c r="I146" s="11">
        <f t="shared" si="13"/>
        <v>-209104500</v>
      </c>
      <c r="J146" s="11">
        <f t="shared" si="16"/>
        <v>-209104500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203</v>
      </c>
      <c r="H147" s="11">
        <f t="shared" si="15"/>
        <v>0</v>
      </c>
      <c r="I147" s="11">
        <f t="shared" si="13"/>
        <v>-5481000000</v>
      </c>
      <c r="J147" s="11">
        <f t="shared" si="16"/>
        <v>0</v>
      </c>
      <c r="K147" s="11">
        <f t="shared" si="17"/>
        <v>-5481000000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200</v>
      </c>
      <c r="H148" s="11">
        <f t="shared" si="15"/>
        <v>1</v>
      </c>
      <c r="I148" s="11">
        <f t="shared" si="13"/>
        <v>50234764</v>
      </c>
      <c r="J148" s="11">
        <f t="shared" si="16"/>
        <v>13036490</v>
      </c>
      <c r="K148" s="11">
        <f t="shared" si="17"/>
        <v>37198274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192</v>
      </c>
      <c r="H149" s="11">
        <f t="shared" si="15"/>
        <v>1</v>
      </c>
      <c r="I149" s="11">
        <f t="shared" si="13"/>
        <v>10008400000</v>
      </c>
      <c r="J149" s="11">
        <f t="shared" si="16"/>
        <v>0</v>
      </c>
      <c r="K149" s="11">
        <f t="shared" si="17"/>
        <v>10008400000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185</v>
      </c>
      <c r="H150" s="11">
        <f t="shared" si="15"/>
        <v>0</v>
      </c>
      <c r="I150" s="11">
        <f t="shared" si="13"/>
        <v>-9620000000</v>
      </c>
      <c r="J150" s="11">
        <f t="shared" si="16"/>
        <v>0</v>
      </c>
      <c r="K150" s="11">
        <f t="shared" si="17"/>
        <v>-9620000000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180</v>
      </c>
      <c r="H151" s="103">
        <f t="shared" si="15"/>
        <v>0</v>
      </c>
      <c r="I151" s="103">
        <f t="shared" si="13"/>
        <v>-1440000000</v>
      </c>
      <c r="J151" s="103">
        <f t="shared" si="16"/>
        <v>-1218983580</v>
      </c>
      <c r="K151" s="11">
        <f t="shared" si="17"/>
        <v>-221016420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180</v>
      </c>
      <c r="H152" s="103">
        <f t="shared" si="15"/>
        <v>0</v>
      </c>
      <c r="I152" s="103">
        <f t="shared" si="13"/>
        <v>-5621400</v>
      </c>
      <c r="J152" s="103">
        <f t="shared" si="16"/>
        <v>0</v>
      </c>
      <c r="K152" s="103">
        <f t="shared" si="17"/>
        <v>-5621400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169</v>
      </c>
      <c r="H153" s="103">
        <f t="shared" si="15"/>
        <v>1</v>
      </c>
      <c r="I153" s="103">
        <f t="shared" si="13"/>
        <v>22694616</v>
      </c>
      <c r="J153" s="103">
        <f t="shared" si="16"/>
        <v>6909840</v>
      </c>
      <c r="K153" s="103">
        <f t="shared" si="17"/>
        <v>15784776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166</v>
      </c>
      <c r="H154" s="103">
        <f t="shared" si="15"/>
        <v>1</v>
      </c>
      <c r="I154" s="103">
        <f t="shared" si="13"/>
        <v>1125973530</v>
      </c>
      <c r="J154" s="103">
        <f t="shared" si="16"/>
        <v>1125973530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161</v>
      </c>
      <c r="H155" s="103">
        <f t="shared" si="15"/>
        <v>0</v>
      </c>
      <c r="I155" s="103">
        <f t="shared" si="13"/>
        <v>-32200000</v>
      </c>
      <c r="J155" s="103">
        <f t="shared" si="16"/>
        <v>0</v>
      </c>
      <c r="K155" s="103">
        <f t="shared" si="17"/>
        <v>-32200000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161</v>
      </c>
      <c r="H156" s="103">
        <f t="shared" si="15"/>
        <v>0</v>
      </c>
      <c r="I156" s="103">
        <f t="shared" si="13"/>
        <v>-39902240</v>
      </c>
      <c r="J156" s="103">
        <f t="shared" si="16"/>
        <v>0</v>
      </c>
      <c r="K156" s="103">
        <f t="shared" si="17"/>
        <v>-39902240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160</v>
      </c>
      <c r="H157" s="103">
        <f t="shared" si="15"/>
        <v>0</v>
      </c>
      <c r="I157" s="103">
        <f t="shared" si="13"/>
        <v>-25974400</v>
      </c>
      <c r="J157" s="103">
        <f t="shared" si="16"/>
        <v>0</v>
      </c>
      <c r="K157" s="103">
        <f t="shared" si="17"/>
        <v>-25974400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160</v>
      </c>
      <c r="H158" s="103">
        <f t="shared" si="15"/>
        <v>0</v>
      </c>
      <c r="I158" s="103">
        <f t="shared" si="13"/>
        <v>-480144000</v>
      </c>
      <c r="J158" s="103">
        <f t="shared" si="16"/>
        <v>0</v>
      </c>
      <c r="K158" s="103">
        <f t="shared" si="17"/>
        <v>-480144000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158</v>
      </c>
      <c r="H159" s="103">
        <f t="shared" si="15"/>
        <v>0</v>
      </c>
      <c r="I159" s="103">
        <f t="shared" si="13"/>
        <v>-158079000</v>
      </c>
      <c r="J159" s="103">
        <f t="shared" si="16"/>
        <v>0</v>
      </c>
      <c r="K159" s="103">
        <f t="shared" si="17"/>
        <v>-158079000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154</v>
      </c>
      <c r="H160" s="103">
        <f t="shared" si="15"/>
        <v>0</v>
      </c>
      <c r="I160" s="103">
        <f t="shared" si="13"/>
        <v>-15400000</v>
      </c>
      <c r="J160" s="103">
        <f t="shared" si="16"/>
        <v>0</v>
      </c>
      <c r="K160" s="103">
        <f t="shared" si="17"/>
        <v>-15400000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153</v>
      </c>
      <c r="H161" s="103">
        <f t="shared" si="15"/>
        <v>0</v>
      </c>
      <c r="I161" s="103">
        <f t="shared" si="13"/>
        <v>-306000000</v>
      </c>
      <c r="J161" s="103">
        <f t="shared" si="16"/>
        <v>0</v>
      </c>
      <c r="K161" s="103">
        <f t="shared" si="17"/>
        <v>-306000000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153</v>
      </c>
      <c r="H162" s="103">
        <f t="shared" si="15"/>
        <v>0</v>
      </c>
      <c r="I162" s="103">
        <f t="shared" si="13"/>
        <v>-153076500</v>
      </c>
      <c r="J162" s="103">
        <f t="shared" si="16"/>
        <v>0</v>
      </c>
      <c r="K162" s="103">
        <f t="shared" si="17"/>
        <v>-153076500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150</v>
      </c>
      <c r="H163" s="103">
        <f t="shared" si="15"/>
        <v>0</v>
      </c>
      <c r="I163" s="103">
        <f t="shared" si="13"/>
        <v>-750000</v>
      </c>
      <c r="J163" s="103">
        <f t="shared" si="16"/>
        <v>0</v>
      </c>
      <c r="K163" s="103">
        <f t="shared" si="17"/>
        <v>-750000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140</v>
      </c>
      <c r="H164" s="103">
        <f t="shared" si="15"/>
        <v>1</v>
      </c>
      <c r="I164" s="103">
        <f t="shared" si="13"/>
        <v>417000000</v>
      </c>
      <c r="J164" s="103">
        <f t="shared" si="16"/>
        <v>0</v>
      </c>
      <c r="K164" s="103">
        <f t="shared" si="17"/>
        <v>417000000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139</v>
      </c>
      <c r="H165" s="103">
        <f t="shared" si="15"/>
        <v>1</v>
      </c>
      <c r="I165" s="103">
        <f t="shared" si="13"/>
        <v>414000000</v>
      </c>
      <c r="J165" s="103">
        <f t="shared" si="16"/>
        <v>0</v>
      </c>
      <c r="K165" s="103">
        <f t="shared" si="17"/>
        <v>414000000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138</v>
      </c>
      <c r="H166" s="103">
        <f t="shared" si="15"/>
        <v>1</v>
      </c>
      <c r="I166" s="103">
        <f t="shared" si="13"/>
        <v>2783018</v>
      </c>
      <c r="J166" s="103">
        <f t="shared" si="16"/>
        <v>8198354</v>
      </c>
      <c r="K166" s="103">
        <f t="shared" si="17"/>
        <v>-5415336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133</v>
      </c>
      <c r="H167" s="103">
        <f t="shared" si="15"/>
        <v>0</v>
      </c>
      <c r="I167" s="103">
        <f t="shared" si="13"/>
        <v>-399119700</v>
      </c>
      <c r="J167" s="103">
        <f t="shared" si="16"/>
        <v>0</v>
      </c>
      <c r="K167" s="103">
        <f t="shared" si="17"/>
        <v>-399119700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115</v>
      </c>
      <c r="H168" s="103">
        <f t="shared" si="15"/>
        <v>0</v>
      </c>
      <c r="I168" s="103">
        <f t="shared" si="13"/>
        <v>-345103500</v>
      </c>
      <c r="J168" s="103">
        <f t="shared" si="16"/>
        <v>0</v>
      </c>
      <c r="K168" s="103">
        <f t="shared" si="17"/>
        <v>-345103500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107</v>
      </c>
      <c r="H169" s="103">
        <f t="shared" si="15"/>
        <v>1</v>
      </c>
      <c r="I169" s="103">
        <f t="shared" si="13"/>
        <v>2300730</v>
      </c>
      <c r="J169" s="103">
        <f t="shared" si="16"/>
        <v>7262590</v>
      </c>
      <c r="K169" s="103">
        <f t="shared" si="17"/>
        <v>-4961860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83</v>
      </c>
      <c r="H170" s="103">
        <f t="shared" si="15"/>
        <v>1</v>
      </c>
      <c r="I170" s="103">
        <f t="shared" si="13"/>
        <v>410000000</v>
      </c>
      <c r="J170" s="103">
        <f t="shared" si="16"/>
        <v>0</v>
      </c>
      <c r="K170" s="103">
        <f t="shared" si="17"/>
        <v>410000000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82</v>
      </c>
      <c r="H171" s="103">
        <f t="shared" si="15"/>
        <v>0</v>
      </c>
      <c r="I171" s="103">
        <f t="shared" si="13"/>
        <v>-410000000</v>
      </c>
      <c r="J171" s="103">
        <f t="shared" si="16"/>
        <v>0</v>
      </c>
      <c r="K171" s="103">
        <f t="shared" si="17"/>
        <v>-410000000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76</v>
      </c>
      <c r="H172" s="103">
        <f t="shared" si="15"/>
        <v>1</v>
      </c>
      <c r="I172" s="103">
        <f t="shared" si="13"/>
        <v>37200</v>
      </c>
      <c r="J172" s="103">
        <f t="shared" si="16"/>
        <v>4701075</v>
      </c>
      <c r="K172" s="103">
        <f t="shared" si="17"/>
        <v>-4663875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75</v>
      </c>
      <c r="H173" s="103">
        <f t="shared" si="15"/>
        <v>1</v>
      </c>
      <c r="I173" s="103">
        <f t="shared" si="13"/>
        <v>58090000</v>
      </c>
      <c r="J173" s="103">
        <f t="shared" si="16"/>
        <v>0</v>
      </c>
      <c r="K173" s="103">
        <f t="shared" si="17"/>
        <v>58090000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64</v>
      </c>
      <c r="H174" s="103">
        <f t="shared" si="15"/>
        <v>0</v>
      </c>
      <c r="I174" s="103">
        <f t="shared" si="13"/>
        <v>-2048000</v>
      </c>
      <c r="J174" s="103">
        <f t="shared" si="16"/>
        <v>0</v>
      </c>
      <c r="K174" s="103">
        <f t="shared" si="17"/>
        <v>-2048000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62</v>
      </c>
      <c r="H175" s="103">
        <f t="shared" si="15"/>
        <v>0</v>
      </c>
      <c r="I175" s="103">
        <f t="shared" si="13"/>
        <v>-46500000</v>
      </c>
      <c r="J175" s="103">
        <f t="shared" si="16"/>
        <v>0</v>
      </c>
      <c r="K175" s="103">
        <f t="shared" si="17"/>
        <v>-46500000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53</v>
      </c>
      <c r="H176" s="103">
        <f t="shared" si="15"/>
        <v>0</v>
      </c>
      <c r="I176" s="103">
        <f t="shared" si="13"/>
        <v>-497988</v>
      </c>
      <c r="J176" s="103">
        <f t="shared" si="16"/>
        <v>0</v>
      </c>
      <c r="K176" s="103">
        <f t="shared" si="17"/>
        <v>-497988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52</v>
      </c>
      <c r="H177" s="103">
        <f t="shared" si="15"/>
        <v>0</v>
      </c>
      <c r="I177" s="103">
        <f t="shared" si="13"/>
        <v>-2251600</v>
      </c>
      <c r="J177" s="103">
        <f t="shared" si="16"/>
        <v>0</v>
      </c>
      <c r="K177" s="103">
        <f t="shared" si="17"/>
        <v>-2251600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49</v>
      </c>
      <c r="H178" s="103">
        <f t="shared" si="15"/>
        <v>1</v>
      </c>
      <c r="I178" s="103">
        <f t="shared" si="13"/>
        <v>17280000</v>
      </c>
      <c r="J178" s="103">
        <f t="shared" si="16"/>
        <v>0</v>
      </c>
      <c r="K178" s="103">
        <f t="shared" si="17"/>
        <v>17280000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47</v>
      </c>
      <c r="H179" s="103">
        <f t="shared" si="15"/>
        <v>1</v>
      </c>
      <c r="I179" s="103">
        <f t="shared" si="13"/>
        <v>138000000</v>
      </c>
      <c r="J179" s="103">
        <f t="shared" si="16"/>
        <v>0</v>
      </c>
      <c r="K179" s="103">
        <f t="shared" si="17"/>
        <v>138000000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47</v>
      </c>
      <c r="H180" s="103">
        <f t="shared" si="15"/>
        <v>0</v>
      </c>
      <c r="I180" s="103">
        <f t="shared" si="13"/>
        <v>-566350</v>
      </c>
      <c r="J180" s="103">
        <f t="shared" si="16"/>
        <v>0</v>
      </c>
      <c r="K180" s="103">
        <f t="shared" si="17"/>
        <v>-566350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45</v>
      </c>
      <c r="H181" s="103">
        <f t="shared" si="15"/>
        <v>1</v>
      </c>
      <c r="I181" s="103">
        <f t="shared" si="13"/>
        <v>132000000</v>
      </c>
      <c r="J181" s="103">
        <f t="shared" si="16"/>
        <v>0</v>
      </c>
      <c r="K181" s="103">
        <f t="shared" si="17"/>
        <v>132000000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43</v>
      </c>
      <c r="H182" s="103">
        <f t="shared" si="15"/>
        <v>0</v>
      </c>
      <c r="I182" s="103">
        <f t="shared" si="13"/>
        <v>-1539400</v>
      </c>
      <c r="J182" s="103">
        <f t="shared" si="16"/>
        <v>0</v>
      </c>
      <c r="K182" s="103">
        <f t="shared" si="17"/>
        <v>-1539400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42</v>
      </c>
      <c r="H183" s="103">
        <f t="shared" si="15"/>
        <v>1</v>
      </c>
      <c r="I183" s="103">
        <f t="shared" si="13"/>
        <v>147600000</v>
      </c>
      <c r="J183" s="103">
        <f t="shared" si="16"/>
        <v>0</v>
      </c>
      <c r="K183" s="103">
        <f t="shared" si="17"/>
        <v>147600000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42</v>
      </c>
      <c r="H184" s="103">
        <f t="shared" si="15"/>
        <v>0</v>
      </c>
      <c r="I184" s="103">
        <f t="shared" si="13"/>
        <v>-1401834</v>
      </c>
      <c r="J184" s="103">
        <f t="shared" si="16"/>
        <v>0</v>
      </c>
      <c r="K184" s="103">
        <f t="shared" si="17"/>
        <v>-1401834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39</v>
      </c>
      <c r="H185" s="103">
        <f t="shared" si="15"/>
        <v>0</v>
      </c>
      <c r="I185" s="103">
        <f t="shared" si="13"/>
        <v>-382200000</v>
      </c>
      <c r="J185" s="103">
        <f t="shared" si="16"/>
        <v>0</v>
      </c>
      <c r="K185" s="103">
        <f t="shared" si="17"/>
        <v>-382200000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39</v>
      </c>
      <c r="H186" s="103">
        <f t="shared" si="15"/>
        <v>1</v>
      </c>
      <c r="I186" s="103">
        <f t="shared" si="13"/>
        <v>684000000</v>
      </c>
      <c r="J186" s="103">
        <f t="shared" si="16"/>
        <v>0</v>
      </c>
      <c r="K186" s="103">
        <f t="shared" si="17"/>
        <v>684000000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39</v>
      </c>
      <c r="H187" s="103">
        <f t="shared" si="15"/>
        <v>0</v>
      </c>
      <c r="I187" s="103">
        <f t="shared" si="13"/>
        <v>-351000000</v>
      </c>
      <c r="J187" s="103">
        <f t="shared" si="16"/>
        <v>0</v>
      </c>
      <c r="K187" s="103">
        <f t="shared" si="17"/>
        <v>-351000000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39</v>
      </c>
      <c r="H188" s="103">
        <f t="shared" si="15"/>
        <v>0</v>
      </c>
      <c r="I188" s="103">
        <f t="shared" si="13"/>
        <v>-452400</v>
      </c>
      <c r="J188" s="103">
        <f t="shared" si="16"/>
        <v>0</v>
      </c>
      <c r="K188" s="103">
        <f t="shared" si="17"/>
        <v>-452400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39</v>
      </c>
      <c r="H189" s="103">
        <f t="shared" si="15"/>
        <v>0</v>
      </c>
      <c r="I189" s="103">
        <f t="shared" si="13"/>
        <v>-128868753</v>
      </c>
      <c r="J189" s="103">
        <f t="shared" si="16"/>
        <v>0</v>
      </c>
      <c r="K189" s="103">
        <f t="shared" si="17"/>
        <v>-128868753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38</v>
      </c>
      <c r="H190" s="103">
        <f t="shared" si="15"/>
        <v>0</v>
      </c>
      <c r="I190" s="103">
        <f t="shared" si="13"/>
        <v>-114034200</v>
      </c>
      <c r="J190" s="103">
        <f t="shared" si="16"/>
        <v>0</v>
      </c>
      <c r="K190" s="103">
        <f t="shared" si="17"/>
        <v>-114034200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37</v>
      </c>
      <c r="H191" s="103">
        <f t="shared" si="15"/>
        <v>0</v>
      </c>
      <c r="I191" s="103">
        <f t="shared" si="13"/>
        <v>-102153300</v>
      </c>
      <c r="J191" s="103">
        <f t="shared" si="16"/>
        <v>0</v>
      </c>
      <c r="K191" s="103">
        <f t="shared" si="17"/>
        <v>-102153300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32</v>
      </c>
      <c r="H192" s="103">
        <f t="shared" si="15"/>
        <v>1</v>
      </c>
      <c r="I192" s="103">
        <f t="shared" si="13"/>
        <v>31000000</v>
      </c>
      <c r="J192" s="103">
        <f t="shared" si="16"/>
        <v>0</v>
      </c>
      <c r="K192" s="103">
        <f t="shared" si="17"/>
        <v>31000000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31</v>
      </c>
      <c r="H193" s="103">
        <f t="shared" si="15"/>
        <v>0</v>
      </c>
      <c r="I193" s="103">
        <f t="shared" si="13"/>
        <v>-465000</v>
      </c>
      <c r="J193" s="103">
        <f t="shared" si="16"/>
        <v>0</v>
      </c>
      <c r="K193" s="103">
        <f t="shared" si="17"/>
        <v>-465000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29</v>
      </c>
      <c r="H194" s="103">
        <f t="shared" si="15"/>
        <v>0</v>
      </c>
      <c r="I194" s="103">
        <f t="shared" si="13"/>
        <v>-28710000</v>
      </c>
      <c r="J194" s="103">
        <f t="shared" si="16"/>
        <v>0</v>
      </c>
      <c r="K194" s="103">
        <f t="shared" si="17"/>
        <v>-28710000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29</v>
      </c>
      <c r="H195" s="103">
        <f t="shared" si="15"/>
        <v>1</v>
      </c>
      <c r="I195" s="103">
        <f t="shared" si="13"/>
        <v>21924000</v>
      </c>
      <c r="J195" s="103">
        <f t="shared" si="16"/>
        <v>0</v>
      </c>
      <c r="K195" s="103">
        <f t="shared" si="17"/>
        <v>21924000</v>
      </c>
    </row>
    <row r="196" spans="1:11" x14ac:dyDescent="0.25">
      <c r="A196" s="103" t="s">
        <v>4164</v>
      </c>
      <c r="B196" s="18">
        <v>-750500</v>
      </c>
      <c r="C196" s="18">
        <v>0</v>
      </c>
      <c r="D196" s="18">
        <f t="shared" si="18"/>
        <v>-750500</v>
      </c>
      <c r="E196" s="103" t="s">
        <v>4165</v>
      </c>
      <c r="F196" s="103">
        <v>2</v>
      </c>
      <c r="G196" s="36">
        <f t="shared" si="14"/>
        <v>27</v>
      </c>
      <c r="H196" s="103">
        <f t="shared" si="15"/>
        <v>0</v>
      </c>
      <c r="I196" s="103">
        <f t="shared" si="13"/>
        <v>-20263500</v>
      </c>
      <c r="J196" s="103">
        <f t="shared" si="16"/>
        <v>0</v>
      </c>
      <c r="K196" s="103">
        <f t="shared" si="17"/>
        <v>-20263500</v>
      </c>
    </row>
    <row r="197" spans="1:11" x14ac:dyDescent="0.25">
      <c r="A197" s="103" t="s">
        <v>4177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25</v>
      </c>
      <c r="H197" s="103">
        <f t="shared" si="15"/>
        <v>1</v>
      </c>
      <c r="I197" s="103">
        <f t="shared" si="13"/>
        <v>16800000</v>
      </c>
      <c r="J197" s="103">
        <f t="shared" si="16"/>
        <v>0</v>
      </c>
      <c r="K197" s="103">
        <f t="shared" si="17"/>
        <v>16800000</v>
      </c>
    </row>
    <row r="198" spans="1:11" x14ac:dyDescent="0.25">
      <c r="A198" s="103" t="s">
        <v>4177</v>
      </c>
      <c r="B198" s="18">
        <v>-99000</v>
      </c>
      <c r="C198" s="18">
        <v>0</v>
      </c>
      <c r="D198" s="18">
        <f t="shared" si="18"/>
        <v>-99000</v>
      </c>
      <c r="E198" s="103" t="s">
        <v>4179</v>
      </c>
      <c r="F198" s="103">
        <v>1</v>
      </c>
      <c r="G198" s="36">
        <f t="shared" si="14"/>
        <v>25</v>
      </c>
      <c r="H198" s="103">
        <f t="shared" si="15"/>
        <v>0</v>
      </c>
      <c r="I198" s="103">
        <f t="shared" si="13"/>
        <v>-2475000</v>
      </c>
      <c r="J198" s="103">
        <f t="shared" si="16"/>
        <v>0</v>
      </c>
      <c r="K198" s="103">
        <f t="shared" si="17"/>
        <v>-2475000</v>
      </c>
    </row>
    <row r="199" spans="1:11" x14ac:dyDescent="0.25">
      <c r="A199" s="103" t="s">
        <v>4180</v>
      </c>
      <c r="B199" s="18">
        <v>-205750</v>
      </c>
      <c r="C199" s="18">
        <v>0</v>
      </c>
      <c r="D199" s="18">
        <f t="shared" si="18"/>
        <v>-205750</v>
      </c>
      <c r="E199" s="103" t="s">
        <v>4181</v>
      </c>
      <c r="F199" s="103">
        <v>0</v>
      </c>
      <c r="G199" s="36">
        <f t="shared" si="14"/>
        <v>24</v>
      </c>
      <c r="H199" s="103">
        <f t="shared" si="15"/>
        <v>0</v>
      </c>
      <c r="I199" s="103">
        <f t="shared" si="13"/>
        <v>-4938000</v>
      </c>
      <c r="J199" s="103">
        <f t="shared" si="16"/>
        <v>0</v>
      </c>
      <c r="K199" s="103">
        <f t="shared" si="17"/>
        <v>-4938000</v>
      </c>
    </row>
    <row r="200" spans="1:11" x14ac:dyDescent="0.25">
      <c r="A200" s="103" t="s">
        <v>4180</v>
      </c>
      <c r="B200" s="18">
        <v>-95000</v>
      </c>
      <c r="C200" s="18">
        <v>0</v>
      </c>
      <c r="D200" s="18">
        <f t="shared" si="18"/>
        <v>-95000</v>
      </c>
      <c r="E200" s="103" t="s">
        <v>4182</v>
      </c>
      <c r="F200" s="103">
        <v>3</v>
      </c>
      <c r="G200" s="36">
        <f t="shared" si="14"/>
        <v>24</v>
      </c>
      <c r="H200" s="103">
        <f t="shared" si="15"/>
        <v>0</v>
      </c>
      <c r="I200" s="103">
        <f t="shared" si="13"/>
        <v>-2280000</v>
      </c>
      <c r="J200" s="103">
        <f t="shared" si="16"/>
        <v>0</v>
      </c>
      <c r="K200" s="103">
        <f t="shared" si="17"/>
        <v>-2280000</v>
      </c>
    </row>
    <row r="201" spans="1:11" x14ac:dyDescent="0.25">
      <c r="A201" s="103" t="s">
        <v>4204</v>
      </c>
      <c r="B201" s="18">
        <v>48650000</v>
      </c>
      <c r="C201" s="18">
        <v>0</v>
      </c>
      <c r="D201" s="18">
        <f t="shared" si="18"/>
        <v>48650000</v>
      </c>
      <c r="E201" s="103" t="s">
        <v>4205</v>
      </c>
      <c r="F201" s="103">
        <v>0</v>
      </c>
      <c r="G201" s="36">
        <f t="shared" si="14"/>
        <v>21</v>
      </c>
      <c r="H201" s="103">
        <f t="shared" si="15"/>
        <v>1</v>
      </c>
      <c r="I201" s="103">
        <f t="shared" si="13"/>
        <v>973000000</v>
      </c>
      <c r="J201" s="103">
        <f t="shared" si="16"/>
        <v>0</v>
      </c>
      <c r="K201" s="103">
        <f t="shared" si="17"/>
        <v>973000000</v>
      </c>
    </row>
    <row r="202" spans="1:11" x14ac:dyDescent="0.25">
      <c r="A202" s="103" t="s">
        <v>4204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21</v>
      </c>
      <c r="H202" s="103">
        <f t="shared" si="15"/>
        <v>0</v>
      </c>
      <c r="I202" s="103">
        <f t="shared" si="13"/>
        <v>-63018900</v>
      </c>
      <c r="J202" s="103">
        <f t="shared" si="16"/>
        <v>0</v>
      </c>
      <c r="K202" s="103">
        <f t="shared" si="17"/>
        <v>-63018900</v>
      </c>
    </row>
    <row r="203" spans="1:11" x14ac:dyDescent="0.25">
      <c r="A203" s="103" t="s">
        <v>4204</v>
      </c>
      <c r="B203" s="18">
        <v>-5000</v>
      </c>
      <c r="C203" s="18">
        <v>0</v>
      </c>
      <c r="D203" s="18">
        <f t="shared" si="18"/>
        <v>-5000</v>
      </c>
      <c r="E203" s="103" t="s">
        <v>4206</v>
      </c>
      <c r="F203" s="103">
        <v>0</v>
      </c>
      <c r="G203" s="36">
        <f t="shared" si="14"/>
        <v>21</v>
      </c>
      <c r="H203" s="103">
        <f t="shared" si="15"/>
        <v>0</v>
      </c>
      <c r="I203" s="103">
        <f t="shared" si="13"/>
        <v>-105000</v>
      </c>
      <c r="J203" s="103">
        <f t="shared" si="16"/>
        <v>0</v>
      </c>
      <c r="K203" s="103">
        <f t="shared" si="17"/>
        <v>-105000</v>
      </c>
    </row>
    <row r="204" spans="1:11" x14ac:dyDescent="0.25">
      <c r="A204" s="103" t="s">
        <v>4204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21</v>
      </c>
      <c r="H204" s="103">
        <f t="shared" si="15"/>
        <v>0</v>
      </c>
      <c r="I204" s="103">
        <f t="shared" si="13"/>
        <v>-703500000</v>
      </c>
      <c r="J204" s="103">
        <f t="shared" si="16"/>
        <v>0</v>
      </c>
      <c r="K204" s="103">
        <f t="shared" si="17"/>
        <v>-703500000</v>
      </c>
    </row>
    <row r="205" spans="1:11" x14ac:dyDescent="0.25">
      <c r="A205" s="11" t="s">
        <v>4212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20</v>
      </c>
      <c r="H205" s="103">
        <f t="shared" si="15"/>
        <v>0</v>
      </c>
      <c r="I205" s="103">
        <f t="shared" si="13"/>
        <v>-248700000</v>
      </c>
      <c r="J205" s="103">
        <f t="shared" si="16"/>
        <v>0</v>
      </c>
      <c r="K205" s="103">
        <f t="shared" si="17"/>
        <v>-248700000</v>
      </c>
    </row>
    <row r="206" spans="1:11" x14ac:dyDescent="0.25">
      <c r="A206" s="103" t="s">
        <v>4226</v>
      </c>
      <c r="B206" s="18">
        <v>-18500</v>
      </c>
      <c r="C206" s="18">
        <v>0</v>
      </c>
      <c r="D206" s="18">
        <f t="shared" si="18"/>
        <v>-18500</v>
      </c>
      <c r="E206" s="103" t="s">
        <v>4227</v>
      </c>
      <c r="F206" s="103">
        <v>2</v>
      </c>
      <c r="G206" s="36">
        <f t="shared" si="19"/>
        <v>17</v>
      </c>
      <c r="H206" s="103">
        <f t="shared" si="15"/>
        <v>0</v>
      </c>
      <c r="I206" s="103">
        <f t="shared" si="13"/>
        <v>-314500</v>
      </c>
      <c r="J206" s="103">
        <f t="shared" si="16"/>
        <v>0</v>
      </c>
      <c r="K206" s="103">
        <f t="shared" si="17"/>
        <v>-314500</v>
      </c>
    </row>
    <row r="207" spans="1:11" x14ac:dyDescent="0.25">
      <c r="A207" s="103" t="s">
        <v>4223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15</v>
      </c>
      <c r="H207" s="103">
        <f t="shared" si="15"/>
        <v>1</v>
      </c>
      <c r="I207" s="103">
        <f t="shared" si="13"/>
        <v>202720</v>
      </c>
      <c r="J207" s="103">
        <f t="shared" ref="J207:J266" si="20">C207*(G207-H207)</f>
        <v>992236</v>
      </c>
      <c r="K207" s="103">
        <f t="shared" si="17"/>
        <v>-789516</v>
      </c>
    </row>
    <row r="208" spans="1:11" x14ac:dyDescent="0.25">
      <c r="A208" s="103" t="s">
        <v>4229</v>
      </c>
      <c r="B208" s="18">
        <v>830000</v>
      </c>
      <c r="C208" s="18">
        <v>0</v>
      </c>
      <c r="D208" s="18">
        <f t="shared" si="18"/>
        <v>830000</v>
      </c>
      <c r="E208" s="103" t="s">
        <v>4230</v>
      </c>
      <c r="F208" s="103">
        <v>2</v>
      </c>
      <c r="G208" s="36">
        <f t="shared" si="19"/>
        <v>14</v>
      </c>
      <c r="H208" s="103">
        <f t="shared" si="15"/>
        <v>1</v>
      </c>
      <c r="I208" s="103">
        <f t="shared" si="13"/>
        <v>10790000</v>
      </c>
      <c r="J208" s="103">
        <f t="shared" si="20"/>
        <v>0</v>
      </c>
      <c r="K208" s="103">
        <f t="shared" si="17"/>
        <v>10790000</v>
      </c>
    </row>
    <row r="209" spans="1:13" x14ac:dyDescent="0.25">
      <c r="A209" s="103" t="s">
        <v>4253</v>
      </c>
      <c r="B209" s="18">
        <v>-52440</v>
      </c>
      <c r="C209" s="18">
        <v>0</v>
      </c>
      <c r="D209" s="18">
        <f t="shared" si="18"/>
        <v>-52440</v>
      </c>
      <c r="E209" s="103" t="s">
        <v>4260</v>
      </c>
      <c r="F209" s="103">
        <v>1</v>
      </c>
      <c r="G209" s="36">
        <f t="shared" si="19"/>
        <v>12</v>
      </c>
      <c r="H209" s="103">
        <f t="shared" si="15"/>
        <v>0</v>
      </c>
      <c r="I209" s="103">
        <f t="shared" si="13"/>
        <v>-629280</v>
      </c>
      <c r="J209" s="103">
        <f t="shared" si="20"/>
        <v>0</v>
      </c>
      <c r="K209" s="103">
        <f t="shared" si="17"/>
        <v>-629280</v>
      </c>
    </row>
    <row r="210" spans="1:13" x14ac:dyDescent="0.25">
      <c r="A210" s="103" t="s">
        <v>4261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11</v>
      </c>
      <c r="H210" s="103">
        <f t="shared" si="15"/>
        <v>0</v>
      </c>
      <c r="I210" s="103">
        <f t="shared" si="13"/>
        <v>-562100</v>
      </c>
      <c r="J210" s="103">
        <f t="shared" si="20"/>
        <v>0</v>
      </c>
      <c r="K210" s="103">
        <f t="shared" si="17"/>
        <v>-562100</v>
      </c>
    </row>
    <row r="211" spans="1:13" x14ac:dyDescent="0.25">
      <c r="A211" s="103" t="s">
        <v>4264</v>
      </c>
      <c r="B211" s="18">
        <v>-200000</v>
      </c>
      <c r="C211" s="18">
        <v>0</v>
      </c>
      <c r="D211" s="18">
        <f t="shared" si="18"/>
        <v>-200000</v>
      </c>
      <c r="E211" s="103" t="s">
        <v>4265</v>
      </c>
      <c r="F211" s="103">
        <v>1</v>
      </c>
      <c r="G211" s="36">
        <f t="shared" si="19"/>
        <v>10</v>
      </c>
      <c r="H211" s="103">
        <f t="shared" si="15"/>
        <v>0</v>
      </c>
      <c r="I211" s="103">
        <f t="shared" si="13"/>
        <v>-2000000</v>
      </c>
      <c r="J211" s="103">
        <f t="shared" si="20"/>
        <v>0</v>
      </c>
      <c r="K211" s="103">
        <f t="shared" si="17"/>
        <v>-2000000</v>
      </c>
    </row>
    <row r="212" spans="1:13" x14ac:dyDescent="0.25">
      <c r="A212" s="103" t="s">
        <v>4266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9</v>
      </c>
      <c r="H212" s="103">
        <f t="shared" si="15"/>
        <v>0</v>
      </c>
      <c r="I212" s="103">
        <f t="shared" si="13"/>
        <v>-252000</v>
      </c>
      <c r="J212" s="103">
        <f t="shared" si="20"/>
        <v>0</v>
      </c>
      <c r="K212" s="103">
        <f t="shared" si="17"/>
        <v>-252000</v>
      </c>
    </row>
    <row r="213" spans="1:13" x14ac:dyDescent="0.25">
      <c r="A213" s="103" t="s">
        <v>4267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8</v>
      </c>
      <c r="H213" s="103">
        <f t="shared" si="15"/>
        <v>0</v>
      </c>
      <c r="I213" s="103">
        <f t="shared" si="13"/>
        <v>-472800</v>
      </c>
      <c r="J213" s="103">
        <f t="shared" si="20"/>
        <v>0</v>
      </c>
      <c r="K213" s="103">
        <f t="shared" si="17"/>
        <v>-472800</v>
      </c>
    </row>
    <row r="214" spans="1:13" x14ac:dyDescent="0.25">
      <c r="A214" s="103" t="s">
        <v>4267</v>
      </c>
      <c r="B214" s="18">
        <v>-30000</v>
      </c>
      <c r="C214" s="18">
        <v>0</v>
      </c>
      <c r="D214" s="18">
        <f t="shared" si="18"/>
        <v>-30000</v>
      </c>
      <c r="E214" s="103" t="s">
        <v>4268</v>
      </c>
      <c r="F214" s="103">
        <v>0</v>
      </c>
      <c r="G214" s="36">
        <f t="shared" si="19"/>
        <v>7</v>
      </c>
      <c r="H214" s="103">
        <f t="shared" si="15"/>
        <v>0</v>
      </c>
      <c r="I214" s="103">
        <f t="shared" si="13"/>
        <v>-210000</v>
      </c>
      <c r="J214" s="103">
        <f t="shared" si="20"/>
        <v>0</v>
      </c>
      <c r="K214" s="103">
        <f t="shared" si="17"/>
        <v>-210000</v>
      </c>
    </row>
    <row r="215" spans="1:13" x14ac:dyDescent="0.25">
      <c r="A215" s="103" t="s">
        <v>4267</v>
      </c>
      <c r="B215" s="18">
        <v>-178000</v>
      </c>
      <c r="C215" s="18">
        <v>0</v>
      </c>
      <c r="D215" s="18">
        <f t="shared" si="18"/>
        <v>-178000</v>
      </c>
      <c r="E215" s="103" t="s">
        <v>4270</v>
      </c>
      <c r="F215" s="103">
        <v>1</v>
      </c>
      <c r="G215" s="36">
        <f t="shared" si="19"/>
        <v>7</v>
      </c>
      <c r="H215" s="103">
        <f t="shared" si="15"/>
        <v>0</v>
      </c>
      <c r="I215" s="103">
        <f t="shared" si="13"/>
        <v>-1246000</v>
      </c>
      <c r="J215" s="103">
        <f t="shared" si="20"/>
        <v>0</v>
      </c>
      <c r="K215" s="103">
        <f t="shared" si="17"/>
        <v>-1246000</v>
      </c>
    </row>
    <row r="216" spans="1:13" x14ac:dyDescent="0.25">
      <c r="A216" s="103" t="s">
        <v>4272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6</v>
      </c>
      <c r="H216" s="103">
        <f t="shared" si="15"/>
        <v>0</v>
      </c>
      <c r="I216" s="103">
        <f t="shared" si="13"/>
        <v>-573660</v>
      </c>
      <c r="J216" s="103">
        <f t="shared" si="20"/>
        <v>0</v>
      </c>
      <c r="K216" s="103">
        <f t="shared" si="17"/>
        <v>-573660</v>
      </c>
    </row>
    <row r="217" spans="1:13" x14ac:dyDescent="0.25">
      <c r="A217" s="103" t="s">
        <v>4222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3</v>
      </c>
      <c r="H217" s="103">
        <f t="shared" si="15"/>
        <v>0</v>
      </c>
      <c r="I217" s="103">
        <f t="shared" si="13"/>
        <v>-252000</v>
      </c>
      <c r="J217" s="103">
        <f t="shared" si="20"/>
        <v>0</v>
      </c>
      <c r="K217" s="103">
        <f t="shared" si="17"/>
        <v>-252000</v>
      </c>
    </row>
    <row r="218" spans="1:13" x14ac:dyDescent="0.25">
      <c r="A218" s="103" t="s">
        <v>4276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1</v>
      </c>
      <c r="G218" s="36">
        <f t="shared" ref="G218:G265" si="21">G219+F218</f>
        <v>1</v>
      </c>
      <c r="H218" s="103">
        <f t="shared" si="15"/>
        <v>0</v>
      </c>
      <c r="I218" s="103">
        <f t="shared" si="13"/>
        <v>-33000</v>
      </c>
      <c r="J218" s="103">
        <f t="shared" si="20"/>
        <v>0</v>
      </c>
      <c r="K218" s="103">
        <f t="shared" si="17"/>
        <v>-33000</v>
      </c>
    </row>
    <row r="219" spans="1:13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21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64567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18780044512</v>
      </c>
      <c r="J267" s="29">
        <f>SUM(J2:J266)</f>
        <v>8170811168</v>
      </c>
      <c r="K267" s="29">
        <f>SUM(K2:K266)</f>
        <v>10609233344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20660114.974697471</v>
      </c>
      <c r="J270" s="29">
        <f>J267/G2</f>
        <v>8988791.1639163923</v>
      </c>
      <c r="K270" s="29">
        <f>K267/G2</f>
        <v>11671323.810781078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630297.83812670701</v>
      </c>
      <c r="K274">
        <f>K267/I267*1448696</f>
        <v>818398.16187329299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4188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4189</v>
      </c>
      <c r="R8" s="119" t="s">
        <v>4190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4251</v>
      </c>
      <c r="M20" t="s">
        <v>4070</v>
      </c>
      <c r="N20" t="s">
        <v>4252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I8" zoomScaleNormal="100" workbookViewId="0">
      <selection activeCell="P22" sqref="P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4209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4210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4201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4202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4211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4203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4213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4223</v>
      </c>
      <c r="AR13" s="103" t="s">
        <v>4239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4229</v>
      </c>
      <c r="AR14" s="103" t="s">
        <v>4246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4229</v>
      </c>
      <c r="AR15" s="103" t="s">
        <v>4240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4253</v>
      </c>
      <c r="AR16" s="103" t="s">
        <v>4254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سارا!D267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4253</v>
      </c>
      <c r="AR17" s="103" t="s">
        <v>4255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4261</v>
      </c>
      <c r="AR18" s="103" t="s">
        <v>4262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4186</v>
      </c>
      <c r="K19" s="180" t="s">
        <v>4199</v>
      </c>
      <c r="L19" s="121">
        <f>-مهر97!D54</f>
        <v>49871015</v>
      </c>
      <c r="M19" s="180" t="s">
        <v>4250</v>
      </c>
      <c r="N19" s="117">
        <f>48028*P33</f>
        <v>9168545.2000000011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4187</v>
      </c>
      <c r="K20" s="180"/>
      <c r="L20" s="121"/>
      <c r="M20" s="180"/>
      <c r="N20" s="117"/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186</v>
      </c>
      <c r="AK20" s="117">
        <f>AH20*AJ20</f>
        <v>3348000000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275202462</v>
      </c>
      <c r="G21" s="29">
        <f t="shared" si="0"/>
        <v>-13202462</v>
      </c>
      <c r="H21" s="11" t="s">
        <v>4279</v>
      </c>
      <c r="J21" s="25"/>
      <c r="K21" s="180" t="s">
        <v>456</v>
      </c>
      <c r="L21" s="121">
        <v>280000</v>
      </c>
      <c r="M21" s="180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185</v>
      </c>
      <c r="AK21" s="117">
        <f t="shared" ref="AK21:AK79" si="5">AH21*AJ21</f>
        <v>462500000</v>
      </c>
      <c r="AL21" s="103"/>
      <c r="AN21" s="100"/>
      <c r="AO21" s="103"/>
      <c r="AP21" s="99">
        <f>SUM(AP7:AP20)</f>
        <v>35863546</v>
      </c>
      <c r="AQ21" s="103"/>
      <c r="AR21" s="193" t="s">
        <v>4263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81">
        <v>4147973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184</v>
      </c>
      <c r="AK22" s="117">
        <f t="shared" si="5"/>
        <v>1472000000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4200</v>
      </c>
      <c r="N23" s="117">
        <f>-1*L19</f>
        <v>-49871015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183</v>
      </c>
      <c r="AK23" s="117">
        <f t="shared" si="5"/>
        <v>-14558016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182</v>
      </c>
      <c r="AK24" s="117">
        <f t="shared" si="5"/>
        <v>30121000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80" t="s">
        <v>1091</v>
      </c>
      <c r="L25" s="121">
        <f>65*P22</f>
        <v>269618245</v>
      </c>
      <c r="M25" s="180" t="s">
        <v>761</v>
      </c>
      <c r="N25" s="117">
        <v>1200000</v>
      </c>
      <c r="O25" t="s">
        <v>25</v>
      </c>
      <c r="P25" t="s">
        <v>4219</v>
      </c>
      <c r="Q25" t="s">
        <v>4218</v>
      </c>
      <c r="R25" s="119" t="s">
        <v>4282</v>
      </c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170</v>
      </c>
      <c r="AK25" s="117">
        <f t="shared" si="5"/>
        <v>-4901155590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80" t="s">
        <v>4198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R26">
        <f>1-P26-Q26</f>
        <v>0.46161872803341736</v>
      </c>
      <c r="S26" s="117">
        <f>R26*P22</f>
        <v>1914782.0201769583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164</v>
      </c>
      <c r="AK26" s="117">
        <f t="shared" si="5"/>
        <v>3034000000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80" t="s">
        <v>4277</v>
      </c>
      <c r="L27" s="121">
        <v>-400000</v>
      </c>
      <c r="M27" s="180" t="s">
        <v>1091</v>
      </c>
      <c r="N27" s="117">
        <f>75*P22</f>
        <v>311097975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163</v>
      </c>
      <c r="AK27" s="117">
        <f t="shared" si="5"/>
        <v>-3023650000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80"/>
      <c r="L28" s="121"/>
      <c r="M28" s="180" t="s">
        <v>4257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162</v>
      </c>
      <c r="AK28" s="117">
        <f t="shared" si="5"/>
        <v>-10523682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80"/>
      <c r="L29" s="121"/>
      <c r="M29" s="180" t="s">
        <v>4258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157</v>
      </c>
      <c r="AK29" s="117">
        <f t="shared" si="5"/>
        <v>1004800000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80" t="s">
        <v>3922</v>
      </c>
      <c r="N30" s="117">
        <v>2877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156</v>
      </c>
      <c r="AK30" s="117">
        <f t="shared" si="5"/>
        <v>-26520000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151</v>
      </c>
      <c r="AK31" s="117">
        <f t="shared" si="5"/>
        <v>-951300000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244702685</v>
      </c>
      <c r="R32" s="180" t="s">
        <v>4229</v>
      </c>
      <c r="S32" s="180">
        <v>16</v>
      </c>
      <c r="T32" s="180" t="s">
        <v>4244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150</v>
      </c>
      <c r="AK32" s="117">
        <f t="shared" si="5"/>
        <v>-7802250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80" t="s">
        <v>4236</v>
      </c>
      <c r="N33" s="117">
        <f>O33*P33</f>
        <v>242827854.40000001</v>
      </c>
      <c r="O33" s="103">
        <v>1272016</v>
      </c>
      <c r="P33" s="103">
        <v>190.9</v>
      </c>
      <c r="Q33" s="181"/>
      <c r="R33" s="180"/>
      <c r="S33" s="180"/>
      <c r="T33" s="180"/>
      <c r="U33" s="100"/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134</v>
      </c>
      <c r="AK33" s="117">
        <f t="shared" si="5"/>
        <v>2682331600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80"/>
      <c r="N34" s="117"/>
      <c r="O34" s="190"/>
      <c r="P34" s="103"/>
      <c r="Q34" s="117">
        <f>SUM(N31:N36)-SUM(Q32:Q32)</f>
        <v>-1874830.599999994</v>
      </c>
      <c r="R34" s="116"/>
      <c r="S34" s="116"/>
      <c r="T34" s="116"/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134</v>
      </c>
      <c r="AK34" s="117">
        <f t="shared" si="5"/>
        <v>135938444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21"/>
      <c r="M35" s="8"/>
      <c r="N35" s="117"/>
      <c r="O35" s="177"/>
      <c r="P35" s="103"/>
      <c r="R35" t="s">
        <v>25</v>
      </c>
      <c r="T35" t="s">
        <v>25</v>
      </c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122</v>
      </c>
      <c r="AK35" s="117">
        <f t="shared" si="5"/>
        <v>43920000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21"/>
      <c r="M36" s="103"/>
      <c r="N36" s="103"/>
      <c r="O36" s="103"/>
      <c r="P36" s="103"/>
      <c r="Q36" t="s">
        <v>25</v>
      </c>
      <c r="R36" t="s">
        <v>25</v>
      </c>
      <c r="T36" t="s">
        <v>25</v>
      </c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120</v>
      </c>
      <c r="AK36" s="117">
        <f t="shared" si="5"/>
        <v>-42000000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21"/>
      <c r="M37" s="103" t="s">
        <v>4259</v>
      </c>
      <c r="N37" s="117">
        <f>O37*P37</f>
        <v>3491561</v>
      </c>
      <c r="O37" s="103">
        <v>18290</v>
      </c>
      <c r="P37" s="103">
        <f>P33</f>
        <v>190.9</v>
      </c>
      <c r="Q37" t="s">
        <v>25</v>
      </c>
      <c r="S37" t="s">
        <v>25</v>
      </c>
      <c r="T37" t="s">
        <v>951</v>
      </c>
      <c r="U37">
        <v>6.3E-3</v>
      </c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120</v>
      </c>
      <c r="AK37" s="117">
        <f t="shared" si="5"/>
        <v>120000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103"/>
      <c r="L38" s="103"/>
      <c r="M38" s="73"/>
      <c r="N38" s="121"/>
      <c r="T38" t="s">
        <v>1021</v>
      </c>
      <c r="U38">
        <v>4.8999999999999998E-3</v>
      </c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119</v>
      </c>
      <c r="AK38" s="117">
        <f t="shared" si="5"/>
        <v>3999590000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T39" t="s">
        <v>6</v>
      </c>
      <c r="U39">
        <f>U37+U38</f>
        <v>1.12E-2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115</v>
      </c>
      <c r="AK39" s="117">
        <f t="shared" si="5"/>
        <v>-1794000000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R40" t="s">
        <v>25</v>
      </c>
      <c r="U40" s="100"/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112</v>
      </c>
      <c r="AK40" s="117">
        <f t="shared" si="5"/>
        <v>840000000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108</v>
      </c>
      <c r="AK41" s="117">
        <f t="shared" si="5"/>
        <v>-10584000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80"/>
      <c r="L42" s="121"/>
      <c r="M42" s="180" t="s">
        <v>4237</v>
      </c>
      <c r="N42" s="117">
        <f>-O42*P33</f>
        <v>-36159323.5</v>
      </c>
      <c r="O42" s="103">
        <v>189415</v>
      </c>
      <c r="P42" s="103">
        <f>P33</f>
        <v>190.9</v>
      </c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107</v>
      </c>
      <c r="AK42" s="117">
        <f t="shared" si="5"/>
        <v>-2782000000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80" t="s">
        <v>25</v>
      </c>
      <c r="L43" s="121"/>
      <c r="M43" s="180" t="s">
        <v>4238</v>
      </c>
      <c r="N43" s="117">
        <f>-O43*P43</f>
        <v>-17638778.199999999</v>
      </c>
      <c r="O43" s="103">
        <v>92398</v>
      </c>
      <c r="P43" s="103">
        <f>P42</f>
        <v>190.9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107</v>
      </c>
      <c r="AK43" s="117">
        <f t="shared" si="5"/>
        <v>2675000000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80"/>
      <c r="L44" s="121"/>
      <c r="M44" s="180"/>
      <c r="N44" s="117"/>
      <c r="O44" s="100"/>
      <c r="P44" s="100"/>
      <c r="V44"/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106</v>
      </c>
      <c r="AK44" s="117">
        <f t="shared" si="5"/>
        <v>11660000</v>
      </c>
      <c r="AL44" s="103"/>
      <c r="AO44" s="103">
        <v>1</v>
      </c>
      <c r="AP44" s="181">
        <v>5000000</v>
      </c>
      <c r="AQ44" s="103" t="s">
        <v>4202</v>
      </c>
      <c r="AR44" s="103" t="s">
        <v>4241</v>
      </c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80" t="s">
        <v>598</v>
      </c>
      <c r="L45" s="117">
        <f>SUM(L16:L38)</f>
        <v>275202462</v>
      </c>
      <c r="M45" s="180"/>
      <c r="N45" s="117">
        <f>SUM(N16:N44)</f>
        <v>392208279.90000004</v>
      </c>
      <c r="O45" t="s">
        <v>25</v>
      </c>
      <c r="V45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105</v>
      </c>
      <c r="AK45" s="117">
        <f t="shared" si="5"/>
        <v>39900000</v>
      </c>
      <c r="AL45" s="103"/>
      <c r="AO45" s="103">
        <v>2</v>
      </c>
      <c r="AP45" s="181">
        <v>13000000</v>
      </c>
      <c r="AQ45" s="103" t="s">
        <v>4213</v>
      </c>
      <c r="AR45" s="103" t="s">
        <v>4242</v>
      </c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80" t="s">
        <v>599</v>
      </c>
      <c r="L46" s="117">
        <f>L16+L17+L21</f>
        <v>313202</v>
      </c>
      <c r="M46" s="180"/>
      <c r="N46" s="117">
        <f>N16+N17+N24</f>
        <v>-7267301</v>
      </c>
      <c r="V46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98</v>
      </c>
      <c r="AK46" s="117">
        <f t="shared" si="5"/>
        <v>44100000</v>
      </c>
      <c r="AL46" s="103"/>
      <c r="AO46" s="103">
        <v>3</v>
      </c>
      <c r="AP46" s="181">
        <v>-168093</v>
      </c>
      <c r="AQ46" s="103" t="s">
        <v>4229</v>
      </c>
      <c r="AR46" s="103" t="s">
        <v>4243</v>
      </c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345202462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92</v>
      </c>
      <c r="AK47" s="117">
        <f t="shared" si="5"/>
        <v>257600000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91</v>
      </c>
      <c r="AK48" s="117">
        <f t="shared" si="5"/>
        <v>-136500000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4157</v>
      </c>
      <c r="O49" t="s">
        <v>25</v>
      </c>
      <c r="Q49" s="116" t="s">
        <v>1138</v>
      </c>
      <c r="R49" s="116"/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91</v>
      </c>
      <c r="AK49" s="117">
        <f t="shared" si="5"/>
        <v>277550000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4125</v>
      </c>
      <c r="P50" t="s">
        <v>25</v>
      </c>
      <c r="Q50" s="116" t="s">
        <v>267</v>
      </c>
      <c r="R50" s="116" t="s">
        <v>1153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88</v>
      </c>
      <c r="AK50" s="117">
        <f t="shared" si="5"/>
        <v>-730365856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9" t="s">
        <v>4161</v>
      </c>
      <c r="Q51" s="14">
        <v>110000</v>
      </c>
      <c r="R51" s="116" t="s">
        <v>1154</v>
      </c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86</v>
      </c>
      <c r="AK51" s="117">
        <f t="shared" si="5"/>
        <v>430000000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6"/>
      <c r="N52" s="100"/>
      <c r="Q52" s="14">
        <v>-7000000</v>
      </c>
      <c r="R52" s="116" t="s">
        <v>1155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72</v>
      </c>
      <c r="AK52" s="117">
        <f t="shared" si="5"/>
        <v>-6480000</v>
      </c>
      <c r="AL52" s="103"/>
      <c r="AO52" s="103"/>
      <c r="AP52" s="181">
        <f>SUM(AP44:AP50)</f>
        <v>17831907</v>
      </c>
      <c r="AQ52" s="103"/>
      <c r="AR52" s="192" t="s">
        <v>4248</v>
      </c>
    </row>
    <row r="53" spans="1:44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f>سارا!C267</f>
        <v>7906317</v>
      </c>
      <c r="R53" s="116" t="s">
        <v>1156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71</v>
      </c>
      <c r="AK53" s="117">
        <f t="shared" si="5"/>
        <v>397600000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Q54" s="14">
        <f>N19+N20</f>
        <v>9168545.2000000011</v>
      </c>
      <c r="R54" s="56" t="s">
        <v>3749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67</v>
      </c>
      <c r="AK54" s="117">
        <f t="shared" si="5"/>
        <v>50250000</v>
      </c>
      <c r="AL54" s="103"/>
    </row>
    <row r="55" spans="1:44" x14ac:dyDescent="0.25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Q55" s="14">
        <v>1200000</v>
      </c>
      <c r="R55" s="56" t="s">
        <v>1157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65</v>
      </c>
      <c r="AK55" s="182">
        <f t="shared" si="5"/>
        <v>-275730000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Q56" s="121">
        <v>118000000</v>
      </c>
      <c r="R56" s="56" t="s">
        <v>4111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63</v>
      </c>
      <c r="AK56" s="117">
        <f t="shared" si="5"/>
        <v>258300000</v>
      </c>
      <c r="AL56" s="103"/>
    </row>
    <row r="57" spans="1:44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Q57" s="121">
        <f>N26</f>
        <v>2300000</v>
      </c>
      <c r="R57" s="56" t="s">
        <v>4185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63</v>
      </c>
      <c r="AK57" s="117">
        <f t="shared" si="5"/>
        <v>258300000</v>
      </c>
      <c r="AL57" s="103"/>
    </row>
    <row r="58" spans="1:44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Q58" s="121">
        <v>-44103000</v>
      </c>
      <c r="R58" s="56" t="s">
        <v>4184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62</v>
      </c>
      <c r="AK58" s="117">
        <f t="shared" si="5"/>
        <v>48980000</v>
      </c>
      <c r="AL58" s="103"/>
    </row>
    <row r="59" spans="1:44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Q59" s="14">
        <v>2500000</v>
      </c>
      <c r="R59" s="56" t="s">
        <v>1149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47</v>
      </c>
      <c r="AK59" s="184">
        <f t="shared" si="5"/>
        <v>-181655000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Q60" s="121">
        <v>1200000</v>
      </c>
      <c r="R60" s="56" t="s">
        <v>3939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41</v>
      </c>
      <c r="AK60" s="117">
        <f t="shared" si="5"/>
        <v>770800000</v>
      </c>
      <c r="AL60" s="20"/>
    </row>
    <row r="61" spans="1:44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f>N40</f>
        <v>14908</v>
      </c>
      <c r="R61" s="56" t="s">
        <v>1138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38</v>
      </c>
      <c r="AK61" s="117">
        <f t="shared" si="5"/>
        <v>19000000</v>
      </c>
      <c r="AL61" s="20"/>
    </row>
    <row r="62" spans="1:44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/>
      <c r="R62" s="56"/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37</v>
      </c>
      <c r="AK62" s="117">
        <f t="shared" si="5"/>
        <v>7400000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21"/>
      <c r="R63" s="56"/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34</v>
      </c>
      <c r="AK63" s="117">
        <f t="shared" si="5"/>
        <v>34000000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S64" s="119"/>
      <c r="T64" s="119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31</v>
      </c>
      <c r="AK64" s="117">
        <f t="shared" si="5"/>
        <v>40300000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S65" s="119"/>
      <c r="T65" s="119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9">AJ66+AI65</f>
        <v>31</v>
      </c>
      <c r="AK65" s="117">
        <f t="shared" si="5"/>
        <v>30845000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4164</v>
      </c>
      <c r="AH66" s="121">
        <v>13000000</v>
      </c>
      <c r="AI66" s="20">
        <v>2</v>
      </c>
      <c r="AJ66" s="103">
        <f t="shared" si="9"/>
        <v>29</v>
      </c>
      <c r="AK66" s="117">
        <f t="shared" si="5"/>
        <v>377000000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17">
        <f>SUM(Q51:Q65)</f>
        <v>91296770.200000003</v>
      </c>
      <c r="R67" s="56" t="s">
        <v>1159</v>
      </c>
      <c r="S67" s="119"/>
      <c r="T67" s="119"/>
      <c r="AF67" s="20">
        <v>47</v>
      </c>
      <c r="AG67" s="121" t="s">
        <v>4177</v>
      </c>
      <c r="AH67" s="121">
        <v>-3100000</v>
      </c>
      <c r="AI67" s="20">
        <v>3</v>
      </c>
      <c r="AJ67" s="103">
        <f t="shared" si="9"/>
        <v>27</v>
      </c>
      <c r="AK67" s="117">
        <f t="shared" si="5"/>
        <v>-83700000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26"/>
      <c r="AF68" s="20">
        <v>48</v>
      </c>
      <c r="AG68" s="121" t="s">
        <v>4194</v>
      </c>
      <c r="AH68" s="121">
        <v>45640000</v>
      </c>
      <c r="AI68" s="20">
        <v>1</v>
      </c>
      <c r="AJ68" s="103">
        <f t="shared" si="9"/>
        <v>24</v>
      </c>
      <c r="AK68" s="117">
        <f t="shared" si="5"/>
        <v>1095360000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21"/>
      <c r="R69" s="56"/>
      <c r="W69" s="119"/>
      <c r="AF69" s="20">
        <v>49</v>
      </c>
      <c r="AG69" s="121" t="s">
        <v>4204</v>
      </c>
      <c r="AH69" s="121">
        <v>33500000</v>
      </c>
      <c r="AI69" s="20">
        <v>1</v>
      </c>
      <c r="AJ69" s="103">
        <f t="shared" si="9"/>
        <v>23</v>
      </c>
      <c r="AK69" s="117">
        <f t="shared" si="5"/>
        <v>770500000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6"/>
      <c r="W70" s="172"/>
      <c r="AF70" s="20">
        <v>50</v>
      </c>
      <c r="AG70" s="121" t="s">
        <v>4212</v>
      </c>
      <c r="AH70" s="121">
        <v>12000000</v>
      </c>
      <c r="AI70" s="20">
        <v>1</v>
      </c>
      <c r="AJ70" s="103">
        <f t="shared" si="9"/>
        <v>22</v>
      </c>
      <c r="AK70" s="121">
        <f t="shared" si="5"/>
        <v>264000000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4218</v>
      </c>
      <c r="AH71" s="121">
        <v>15500000</v>
      </c>
      <c r="AI71" s="20">
        <v>4</v>
      </c>
      <c r="AJ71" s="103">
        <f t="shared" si="9"/>
        <v>21</v>
      </c>
      <c r="AK71" s="121">
        <f t="shared" si="5"/>
        <v>325500000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4223</v>
      </c>
      <c r="AH72" s="121">
        <v>150000</v>
      </c>
      <c r="AI72" s="20">
        <v>1</v>
      </c>
      <c r="AJ72" s="103">
        <f t="shared" si="9"/>
        <v>17</v>
      </c>
      <c r="AK72" s="121">
        <f t="shared" si="5"/>
        <v>2550000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Q73" s="22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4229</v>
      </c>
      <c r="AH73" s="195">
        <v>29000000</v>
      </c>
      <c r="AI73" s="194">
        <v>15</v>
      </c>
      <c r="AJ73" s="194">
        <f t="shared" si="9"/>
        <v>16</v>
      </c>
      <c r="AK73" s="195">
        <f t="shared" si="5"/>
        <v>464000000</v>
      </c>
      <c r="AL73" s="194" t="s">
        <v>4249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>
        <v>54</v>
      </c>
      <c r="AG74" s="121" t="s">
        <v>4282</v>
      </c>
      <c r="AH74" s="121">
        <v>-130000</v>
      </c>
      <c r="AI74" s="20">
        <v>1</v>
      </c>
      <c r="AJ74" s="103">
        <f t="shared" si="9"/>
        <v>1</v>
      </c>
      <c r="AK74" s="121">
        <f t="shared" si="5"/>
        <v>-130000</v>
      </c>
      <c r="AL74" s="20" t="s">
        <v>4284</v>
      </c>
    </row>
    <row r="75" spans="1:38" x14ac:dyDescent="0.25">
      <c r="K75" s="2"/>
      <c r="L75" s="3"/>
      <c r="P75" s="13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9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9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9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9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9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222461899</v>
      </c>
      <c r="AI80" s="103"/>
      <c r="AJ80" s="103"/>
      <c r="AK80" s="99">
        <f>SUM(AK20:AK79)</f>
        <v>11025161650</v>
      </c>
      <c r="AL80" s="99">
        <f>AK80*AL83/31</f>
        <v>7113007.5161290327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229574906.51612905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242827854.40000001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4183</v>
      </c>
      <c r="AH87" s="118">
        <f>AH86-AH80</f>
        <v>20365955.400000006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7113007.5161290327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13252947.883870959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4164</v>
      </c>
      <c r="B18" s="18">
        <v>-750500</v>
      </c>
      <c r="C18" s="18">
        <v>0</v>
      </c>
      <c r="D18" s="117">
        <f t="shared" si="0"/>
        <v>-750500</v>
      </c>
      <c r="E18" s="20" t="s">
        <v>4165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4177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4177</v>
      </c>
      <c r="B20" s="18">
        <v>-99000</v>
      </c>
      <c r="C20" s="18">
        <v>0</v>
      </c>
      <c r="D20" s="117">
        <f t="shared" si="0"/>
        <v>-99000</v>
      </c>
      <c r="E20" s="19" t="s">
        <v>4179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4180</v>
      </c>
      <c r="B21" s="18">
        <v>-205750</v>
      </c>
      <c r="C21" s="18">
        <v>0</v>
      </c>
      <c r="D21" s="117">
        <f t="shared" si="0"/>
        <v>-205750</v>
      </c>
      <c r="E21" s="19" t="s">
        <v>4181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4180</v>
      </c>
      <c r="B22" s="18">
        <v>-95000</v>
      </c>
      <c r="C22" s="18">
        <v>0</v>
      </c>
      <c r="D22" s="117">
        <f t="shared" si="0"/>
        <v>-95000</v>
      </c>
      <c r="E22" s="19" t="s">
        <v>4182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4204</v>
      </c>
      <c r="B23" s="18">
        <v>48650000</v>
      </c>
      <c r="C23" s="18">
        <v>0</v>
      </c>
      <c r="D23" s="117">
        <f t="shared" si="0"/>
        <v>48650000</v>
      </c>
      <c r="E23" s="19" t="s">
        <v>4205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4204</v>
      </c>
      <c r="B24" s="18">
        <v>-3005900</v>
      </c>
      <c r="C24" s="18">
        <v>0</v>
      </c>
      <c r="D24" s="117">
        <f t="shared" si="0"/>
        <v>-3005900</v>
      </c>
      <c r="E24" s="19" t="s">
        <v>4207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4212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4212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4226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4227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4223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4171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4169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4166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4167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4168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4170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4174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4175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4176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4178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4179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4192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4193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4195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4196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-45640000</v>
      </c>
      <c r="E75" s="41" t="s">
        <v>4197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4208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4214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4215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4216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4217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4220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4224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4225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4228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-46434117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76094.505690212565</v>
      </c>
      <c r="C2" s="91">
        <f t="shared" ref="C2:C27" si="0">$S2/(1+($AC$3-$O2+$P2)/36500)^$N2</f>
        <v>79493.444179947925</v>
      </c>
      <c r="D2" s="91">
        <f t="shared" ref="D2:D27" si="1">$S2/(1+($AC$4-$O2+$P2)/36500)^$N2</f>
        <v>79928.877105178122</v>
      </c>
      <c r="E2" s="91">
        <f t="shared" ref="E2:E27" si="2">$S2/(1+($AC$5-$O2+$P2)/36500)^$N2</f>
        <v>80366.701166366431</v>
      </c>
      <c r="F2" s="91">
        <f t="shared" ref="F2:F27" si="3">$S2/(1+($AC$6-$O2+$P2)/36500)^$N2</f>
        <v>80806.929527211934</v>
      </c>
      <c r="G2" s="91">
        <f t="shared" ref="G2:G27" si="4">$S2/(1+($AC$7-$O2+$P2)/36500)^$N2</f>
        <v>81249.575424043243</v>
      </c>
      <c r="H2" s="91">
        <f t="shared" ref="H2:H27" si="5">$S2/(1+($AC$8-$O2+$P2)/36500)^$N2</f>
        <v>81694.652166262575</v>
      </c>
      <c r="I2" s="91">
        <f t="shared" ref="I2:I27" si="6">$S2/(1+($AC$9-$O2+$P2)/36500)^$N2</f>
        <v>82142.17313671195</v>
      </c>
      <c r="J2" s="91">
        <f t="shared" ref="J2:J27" si="7">$S2/(1+($AC$10-$O2+$P2)/36500)^$N2</f>
        <v>82592.151792103745</v>
      </c>
      <c r="K2" s="91">
        <f>$S2/(1+($AC$11-$O2+$P2)/36500)^$N2</f>
        <v>83044.601663434718</v>
      </c>
      <c r="L2" s="91">
        <f t="shared" ref="L2:L27" si="8">$S2/(1+($AC$5-$O2+$P2)/36500)^$N2</f>
        <v>80366.701166366431</v>
      </c>
      <c r="M2" s="90" t="s">
        <v>993</v>
      </c>
      <c r="N2" s="90">
        <f>601-$AD$19</f>
        <v>399</v>
      </c>
      <c r="O2" s="90">
        <v>0</v>
      </c>
      <c r="P2" s="90">
        <v>0</v>
      </c>
      <c r="Q2" s="90">
        <v>0</v>
      </c>
      <c r="R2" s="90">
        <f t="shared" ref="R2:R27" si="9">N2/30.5</f>
        <v>13.081967213114755</v>
      </c>
      <c r="S2" s="91">
        <v>100000</v>
      </c>
      <c r="T2" s="91">
        <v>73200</v>
      </c>
      <c r="U2" s="91">
        <f t="shared" ref="U2:U27" si="10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11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2">$S3/(1+($B$1-$O3+$P3)/36500)^$N3</f>
        <v>77567.426778907029</v>
      </c>
      <c r="C3" s="95">
        <f t="shared" si="0"/>
        <v>80784.047303138621</v>
      </c>
      <c r="D3" s="95">
        <f t="shared" si="1"/>
        <v>81195.417910234668</v>
      </c>
      <c r="E3" s="95">
        <f t="shared" si="2"/>
        <v>81608.888984488134</v>
      </c>
      <c r="F3" s="95">
        <f t="shared" si="3"/>
        <v>82024.471279917125</v>
      </c>
      <c r="G3" s="95">
        <f t="shared" si="4"/>
        <v>82442.175605726996</v>
      </c>
      <c r="H3" s="95">
        <f t="shared" si="5"/>
        <v>82862.012826633916</v>
      </c>
      <c r="I3" s="95">
        <f t="shared" si="6"/>
        <v>83283.993863115174</v>
      </c>
      <c r="J3" s="95">
        <f t="shared" si="7"/>
        <v>83708.129691718583</v>
      </c>
      <c r="K3" s="95">
        <f t="shared" ref="K3:K27" si="13">$S3/(1+($AC$11-$O3+$P3)/36500)^$N3</f>
        <v>84134.431345356395</v>
      </c>
      <c r="L3" s="95">
        <f t="shared" si="8"/>
        <v>81608.888984488134</v>
      </c>
      <c r="M3" s="94" t="s">
        <v>994</v>
      </c>
      <c r="N3" s="94">
        <f>573-$AD$19</f>
        <v>371</v>
      </c>
      <c r="O3" s="94">
        <v>0</v>
      </c>
      <c r="P3" s="94">
        <v>0</v>
      </c>
      <c r="Q3" s="94">
        <v>0</v>
      </c>
      <c r="R3" s="94">
        <f t="shared" si="9"/>
        <v>12.163934426229508</v>
      </c>
      <c r="S3" s="95">
        <v>100000</v>
      </c>
      <c r="T3" s="95">
        <v>73600</v>
      </c>
      <c r="U3" s="95">
        <f t="shared" si="10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89126.886853027347</v>
      </c>
      <c r="AA3" s="3">
        <f t="shared" si="11"/>
        <v>2394.6875</v>
      </c>
      <c r="AC3">
        <v>21</v>
      </c>
    </row>
    <row r="4" spans="1:39" x14ac:dyDescent="0.25">
      <c r="A4" s="90" t="s">
        <v>969</v>
      </c>
      <c r="B4" s="91">
        <f t="shared" si="12"/>
        <v>94410.815156925586</v>
      </c>
      <c r="C4" s="91">
        <f t="shared" si="0"/>
        <v>95283.372141162952</v>
      </c>
      <c r="D4" s="91">
        <f t="shared" si="1"/>
        <v>95393.01402059244</v>
      </c>
      <c r="E4" s="91">
        <f t="shared" si="2"/>
        <v>95502.783567831822</v>
      </c>
      <c r="F4" s="91">
        <f t="shared" si="3"/>
        <v>95612.680933291849</v>
      </c>
      <c r="G4" s="91">
        <f t="shared" si="4"/>
        <v>95722.706267557398</v>
      </c>
      <c r="H4" s="91">
        <f t="shared" si="5"/>
        <v>95832.859721397923</v>
      </c>
      <c r="I4" s="91">
        <f t="shared" si="6"/>
        <v>95943.141445758578</v>
      </c>
      <c r="J4" s="91">
        <f t="shared" si="7"/>
        <v>96053.55159176614</v>
      </c>
      <c r="K4" s="91">
        <f t="shared" si="13"/>
        <v>96164.090310730608</v>
      </c>
      <c r="L4" s="91">
        <f t="shared" si="8"/>
        <v>95502.783567831822</v>
      </c>
      <c r="M4" s="90" t="s">
        <v>996</v>
      </c>
      <c r="N4" s="90">
        <f>286-$AD$19</f>
        <v>84</v>
      </c>
      <c r="O4" s="90">
        <v>0</v>
      </c>
      <c r="P4" s="90">
        <v>0</v>
      </c>
      <c r="Q4" s="90">
        <v>0</v>
      </c>
      <c r="R4" s="90">
        <f t="shared" si="9"/>
        <v>2.7540983606557377</v>
      </c>
      <c r="S4" s="91">
        <v>100000</v>
      </c>
      <c r="T4" s="91">
        <v>86700</v>
      </c>
      <c r="U4" s="91">
        <f t="shared" si="10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90997.62307186953</v>
      </c>
      <c r="AA4" s="3">
        <f t="shared" si="11"/>
        <v>3629.5768229166665</v>
      </c>
      <c r="AC4">
        <v>20.5</v>
      </c>
    </row>
    <row r="5" spans="1:39" x14ac:dyDescent="0.25">
      <c r="A5" s="92" t="s">
        <v>985</v>
      </c>
      <c r="B5" s="91">
        <f>$S5/(1+($B$1-$O5+$P5)/36500)^$N5</f>
        <v>83292.297181547372</v>
      </c>
      <c r="C5" s="93">
        <f t="shared" si="0"/>
        <v>85763.878531983268</v>
      </c>
      <c r="D5" s="93">
        <f t="shared" si="1"/>
        <v>86077.958331501533</v>
      </c>
      <c r="E5" s="93">
        <f t="shared" si="2"/>
        <v>86393.192660650035</v>
      </c>
      <c r="F5" s="93">
        <f t="shared" si="3"/>
        <v>86709.585779279005</v>
      </c>
      <c r="G5" s="93">
        <f t="shared" si="4"/>
        <v>87027.141962999769</v>
      </c>
      <c r="H5" s="93">
        <f t="shared" si="5"/>
        <v>87345.865503273468</v>
      </c>
      <c r="I5" s="93">
        <f t="shared" si="6"/>
        <v>87665.760707442867</v>
      </c>
      <c r="J5" s="93">
        <f t="shared" si="7"/>
        <v>87986.831898808581</v>
      </c>
      <c r="K5" s="93">
        <f t="shared" si="13"/>
        <v>88309.083416692214</v>
      </c>
      <c r="L5" s="93">
        <f t="shared" si="8"/>
        <v>86393.192660650035</v>
      </c>
      <c r="M5" s="92" t="s">
        <v>995</v>
      </c>
      <c r="N5" s="92">
        <f>469-$AD$19</f>
        <v>267</v>
      </c>
      <c r="O5" s="92">
        <v>0</v>
      </c>
      <c r="P5" s="92">
        <v>0</v>
      </c>
      <c r="Q5" s="92">
        <v>0</v>
      </c>
      <c r="R5" s="92">
        <f t="shared" si="9"/>
        <v>8.7540983606557372</v>
      </c>
      <c r="S5" s="93">
        <v>100000</v>
      </c>
      <c r="T5" s="93">
        <v>78300</v>
      </c>
      <c r="U5" s="93">
        <f t="shared" si="10"/>
        <v>100000.00000000001</v>
      </c>
      <c r="W5">
        <v>97</v>
      </c>
      <c r="X5">
        <v>4</v>
      </c>
      <c r="Y5">
        <f t="shared" si="15"/>
        <v>1185</v>
      </c>
      <c r="Z5" s="3">
        <f t="shared" si="14"/>
        <v>92907.62526447179</v>
      </c>
      <c r="AA5" s="3">
        <f t="shared" si="11"/>
        <v>4890.1930067274297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2"/>
        <v>83292.297181547372</v>
      </c>
      <c r="C6" s="95">
        <f t="shared" si="0"/>
        <v>85763.878531983268</v>
      </c>
      <c r="D6" s="95">
        <f t="shared" si="1"/>
        <v>86077.958331501533</v>
      </c>
      <c r="E6" s="95">
        <f t="shared" si="2"/>
        <v>86393.192660650035</v>
      </c>
      <c r="F6" s="95">
        <f t="shared" si="3"/>
        <v>86709.585779279005</v>
      </c>
      <c r="G6" s="95">
        <f t="shared" si="4"/>
        <v>87027.141962999769</v>
      </c>
      <c r="H6" s="95">
        <f t="shared" si="5"/>
        <v>87345.865503273468</v>
      </c>
      <c r="I6" s="95">
        <f t="shared" si="6"/>
        <v>87665.760707442867</v>
      </c>
      <c r="J6" s="95">
        <f t="shared" si="7"/>
        <v>87986.831898808581</v>
      </c>
      <c r="K6" s="95">
        <f t="shared" si="13"/>
        <v>88309.083416692214</v>
      </c>
      <c r="L6" s="95">
        <f t="shared" si="8"/>
        <v>86393.192660650035</v>
      </c>
      <c r="M6" s="94" t="s">
        <v>995</v>
      </c>
      <c r="N6" s="94">
        <f>469-$AD$19</f>
        <v>267</v>
      </c>
      <c r="O6" s="94">
        <v>0</v>
      </c>
      <c r="P6" s="94">
        <v>0</v>
      </c>
      <c r="Q6" s="94">
        <v>0</v>
      </c>
      <c r="R6" s="94">
        <f t="shared" si="9"/>
        <v>8.7540983606557372</v>
      </c>
      <c r="S6" s="95">
        <v>100000</v>
      </c>
      <c r="T6" s="95">
        <v>77700</v>
      </c>
      <c r="U6" s="95">
        <f t="shared" si="10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94857.71760726253</v>
      </c>
      <c r="AA6" s="3">
        <f t="shared" si="11"/>
        <v>6177.0720277009177</v>
      </c>
      <c r="AC6">
        <v>19.5</v>
      </c>
    </row>
    <row r="7" spans="1:39" x14ac:dyDescent="0.25">
      <c r="A7" s="90" t="s">
        <v>987</v>
      </c>
      <c r="B7" s="91">
        <f t="shared" si="12"/>
        <v>75008.198859995638</v>
      </c>
      <c r="C7" s="91">
        <f t="shared" si="0"/>
        <v>78539.040918608443</v>
      </c>
      <c r="D7" s="91">
        <f t="shared" si="1"/>
        <v>78991.953546187855</v>
      </c>
      <c r="E7" s="91">
        <f t="shared" si="2"/>
        <v>79447.484248442983</v>
      </c>
      <c r="F7" s="91">
        <f t="shared" si="3"/>
        <v>79905.648195396978</v>
      </c>
      <c r="G7" s="91">
        <f t="shared" si="4"/>
        <v>80366.460645160856</v>
      </c>
      <c r="H7" s="91">
        <f t="shared" si="5"/>
        <v>80829.936944490211</v>
      </c>
      <c r="I7" s="91">
        <f t="shared" si="6"/>
        <v>81296.092529262009</v>
      </c>
      <c r="J7" s="91">
        <f t="shared" si="7"/>
        <v>81764.942925018142</v>
      </c>
      <c r="K7" s="91">
        <f t="shared" si="13"/>
        <v>82236.503747493392</v>
      </c>
      <c r="L7" s="91">
        <f t="shared" si="8"/>
        <v>79447.484248442983</v>
      </c>
      <c r="M7" s="90" t="s">
        <v>999</v>
      </c>
      <c r="N7" s="90">
        <f>622-$AD$19</f>
        <v>420</v>
      </c>
      <c r="O7" s="90">
        <v>0</v>
      </c>
      <c r="P7" s="90">
        <v>0</v>
      </c>
      <c r="Q7" s="90">
        <v>0</v>
      </c>
      <c r="R7" s="90">
        <f t="shared" si="9"/>
        <v>13.770491803278688</v>
      </c>
      <c r="S7" s="91">
        <v>100000</v>
      </c>
      <c r="T7" s="91">
        <v>71800</v>
      </c>
      <c r="U7" s="91">
        <f t="shared" si="10"/>
        <v>100000</v>
      </c>
      <c r="W7">
        <v>97</v>
      </c>
      <c r="X7">
        <v>6</v>
      </c>
      <c r="Y7">
        <f t="shared" si="15"/>
        <v>1185</v>
      </c>
      <c r="Z7" s="3">
        <f t="shared" si="14"/>
        <v>96848.741575789973</v>
      </c>
      <c r="AA7" s="3">
        <f t="shared" si="11"/>
        <v>7490.7610282780197</v>
      </c>
      <c r="AC7">
        <v>19</v>
      </c>
    </row>
    <row r="8" spans="1:39" x14ac:dyDescent="0.25">
      <c r="A8" s="94" t="s">
        <v>988</v>
      </c>
      <c r="B8" s="91">
        <f t="shared" si="12"/>
        <v>71841.443111762812</v>
      </c>
      <c r="C8" s="95">
        <f t="shared" si="0"/>
        <v>75744.034245807401</v>
      </c>
      <c r="D8" s="95">
        <f t="shared" si="1"/>
        <v>76246.564943444668</v>
      </c>
      <c r="E8" s="95">
        <f t="shared" si="2"/>
        <v>76752.436675521094</v>
      </c>
      <c r="F8" s="95">
        <f t="shared" si="3"/>
        <v>77261.671700843144</v>
      </c>
      <c r="G8" s="95">
        <f t="shared" si="4"/>
        <v>77774.292426794404</v>
      </c>
      <c r="H8" s="95">
        <f t="shared" si="5"/>
        <v>78290.321410378368</v>
      </c>
      <c r="I8" s="95">
        <f t="shared" si="6"/>
        <v>78809.781359175438</v>
      </c>
      <c r="J8" s="95">
        <f t="shared" si="7"/>
        <v>79332.695132378154</v>
      </c>
      <c r="K8" s="95">
        <f t="shared" si="13"/>
        <v>79859.085741811854</v>
      </c>
      <c r="L8" s="95">
        <f t="shared" si="8"/>
        <v>76752.436675521094</v>
      </c>
      <c r="M8" s="94" t="s">
        <v>1000</v>
      </c>
      <c r="N8" s="94">
        <f>685-$AD$19</f>
        <v>483</v>
      </c>
      <c r="O8" s="94">
        <v>0</v>
      </c>
      <c r="P8" s="94">
        <v>0</v>
      </c>
      <c r="Q8" s="94">
        <v>0</v>
      </c>
      <c r="R8" s="94">
        <f t="shared" si="9"/>
        <v>15.836065573770492</v>
      </c>
      <c r="S8" s="95">
        <v>100000</v>
      </c>
      <c r="T8" s="95">
        <v>70000</v>
      </c>
      <c r="U8" s="95">
        <f t="shared" si="10"/>
        <v>100000</v>
      </c>
      <c r="W8">
        <v>97</v>
      </c>
      <c r="X8">
        <v>7</v>
      </c>
      <c r="Y8">
        <f t="shared" si="15"/>
        <v>1185</v>
      </c>
      <c r="Z8" s="3">
        <f t="shared" si="14"/>
        <v>98881.556307823485</v>
      </c>
      <c r="AA8" s="3">
        <f t="shared" si="11"/>
        <v>8831.8185497004779</v>
      </c>
      <c r="AC8">
        <v>18.5</v>
      </c>
    </row>
    <row r="9" spans="1:39" x14ac:dyDescent="0.25">
      <c r="A9" s="90" t="s">
        <v>989</v>
      </c>
      <c r="B9" s="91">
        <f t="shared" si="12"/>
        <v>73232.039918217488</v>
      </c>
      <c r="C9" s="91">
        <f t="shared" si="0"/>
        <v>76973.764422542677</v>
      </c>
      <c r="D9" s="91">
        <f t="shared" si="1"/>
        <v>77454.756391188799</v>
      </c>
      <c r="E9" s="91">
        <f t="shared" si="2"/>
        <v>77938.760618967877</v>
      </c>
      <c r="F9" s="91">
        <f t="shared" si="3"/>
        <v>78425.796012086794</v>
      </c>
      <c r="G9" s="91">
        <f t="shared" si="4"/>
        <v>78915.881595653889</v>
      </c>
      <c r="H9" s="91">
        <f t="shared" si="5"/>
        <v>79409.036514474865</v>
      </c>
      <c r="I9" s="91">
        <f t="shared" si="6"/>
        <v>79905.280033765492</v>
      </c>
      <c r="J9" s="91">
        <f t="shared" si="7"/>
        <v>80404.631539937429</v>
      </c>
      <c r="K9" s="91">
        <f t="shared" si="13"/>
        <v>80907.110541368165</v>
      </c>
      <c r="L9" s="91">
        <f t="shared" si="8"/>
        <v>77938.760618967877</v>
      </c>
      <c r="M9" s="90" t="s">
        <v>1001</v>
      </c>
      <c r="N9" s="90">
        <f>657-$AD$19</f>
        <v>455</v>
      </c>
      <c r="O9" s="90">
        <v>0</v>
      </c>
      <c r="P9" s="90">
        <v>0</v>
      </c>
      <c r="Q9" s="90">
        <v>0</v>
      </c>
      <c r="R9" s="90">
        <f t="shared" si="9"/>
        <v>14.918032786885245</v>
      </c>
      <c r="S9" s="91">
        <v>100000</v>
      </c>
      <c r="T9" s="91">
        <v>70700</v>
      </c>
      <c r="U9" s="91">
        <f t="shared" si="10"/>
        <v>100000</v>
      </c>
      <c r="W9">
        <v>97</v>
      </c>
      <c r="X9">
        <v>8</v>
      </c>
      <c r="Y9">
        <f t="shared" si="15"/>
        <v>1185</v>
      </c>
      <c r="Z9" s="3">
        <f t="shared" si="14"/>
        <v>100957.03897407623</v>
      </c>
      <c r="AA9" s="3">
        <f t="shared" si="11"/>
        <v>10200.814769485904</v>
      </c>
      <c r="AC9">
        <v>18</v>
      </c>
    </row>
    <row r="10" spans="1:39" x14ac:dyDescent="0.25">
      <c r="A10" s="92" t="s">
        <v>990</v>
      </c>
      <c r="B10" s="91">
        <f t="shared" si="12"/>
        <v>73232.039918217488</v>
      </c>
      <c r="C10" s="93">
        <f t="shared" si="0"/>
        <v>76973.764422542677</v>
      </c>
      <c r="D10" s="93">
        <f t="shared" si="1"/>
        <v>77454.756391188799</v>
      </c>
      <c r="E10" s="93">
        <f t="shared" si="2"/>
        <v>77938.760618967877</v>
      </c>
      <c r="F10" s="93">
        <f t="shared" si="3"/>
        <v>78425.796012086794</v>
      </c>
      <c r="G10" s="93">
        <f t="shared" si="4"/>
        <v>78915.881595653889</v>
      </c>
      <c r="H10" s="93">
        <f t="shared" si="5"/>
        <v>79409.036514474865</v>
      </c>
      <c r="I10" s="93">
        <f t="shared" si="6"/>
        <v>79905.280033765492</v>
      </c>
      <c r="J10" s="93">
        <f t="shared" si="7"/>
        <v>80404.631539937429</v>
      </c>
      <c r="K10" s="93">
        <f t="shared" si="13"/>
        <v>80907.110541368165</v>
      </c>
      <c r="L10" s="93">
        <f t="shared" si="8"/>
        <v>77938.760618967877</v>
      </c>
      <c r="M10" s="92" t="s">
        <v>1001</v>
      </c>
      <c r="N10" s="92">
        <f>657-$AD$19</f>
        <v>455</v>
      </c>
      <c r="O10" s="92">
        <v>0</v>
      </c>
      <c r="P10" s="92">
        <v>0</v>
      </c>
      <c r="Q10" s="92">
        <v>0</v>
      </c>
      <c r="R10" s="92">
        <f t="shared" si="9"/>
        <v>14.918032786885245</v>
      </c>
      <c r="S10" s="93">
        <v>100000</v>
      </c>
      <c r="T10" s="93">
        <v>71000</v>
      </c>
      <c r="U10" s="93">
        <f t="shared" si="10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103076.08515670919</v>
      </c>
      <c r="AA10" s="3">
        <f t="shared" si="11"/>
        <v>11598.331743850193</v>
      </c>
      <c r="AC10">
        <v>17.5</v>
      </c>
      <c r="AF10" s="26"/>
    </row>
    <row r="11" spans="1:39" x14ac:dyDescent="0.25">
      <c r="A11" s="94" t="s">
        <v>991</v>
      </c>
      <c r="B11" s="91">
        <f t="shared" si="12"/>
        <v>76094.505690212565</v>
      </c>
      <c r="C11" s="95">
        <f t="shared" si="0"/>
        <v>79493.444179947925</v>
      </c>
      <c r="D11" s="95">
        <f t="shared" si="1"/>
        <v>79928.877105178122</v>
      </c>
      <c r="E11" s="95">
        <f t="shared" si="2"/>
        <v>80366.701166366431</v>
      </c>
      <c r="F11" s="95">
        <f t="shared" si="3"/>
        <v>80806.929527211934</v>
      </c>
      <c r="G11" s="95">
        <f>$S11/(1+($AC$7-$O11+$P11)/36500)^$N11</f>
        <v>81249.575424043243</v>
      </c>
      <c r="H11" s="95">
        <f t="shared" si="5"/>
        <v>81694.652166262575</v>
      </c>
      <c r="I11" s="95">
        <f t="shared" si="6"/>
        <v>82142.17313671195</v>
      </c>
      <c r="J11" s="95">
        <f t="shared" si="7"/>
        <v>82592.151792103745</v>
      </c>
      <c r="K11" s="95">
        <f t="shared" si="13"/>
        <v>83044.601663434718</v>
      </c>
      <c r="L11" s="95">
        <f t="shared" si="8"/>
        <v>80366.701166366431</v>
      </c>
      <c r="M11" s="94" t="s">
        <v>993</v>
      </c>
      <c r="N11" s="94">
        <f>601-$AD$19</f>
        <v>399</v>
      </c>
      <c r="O11" s="94">
        <v>0</v>
      </c>
      <c r="P11" s="94">
        <v>0</v>
      </c>
      <c r="Q11" s="94">
        <v>0</v>
      </c>
      <c r="R11" s="94">
        <f t="shared" si="9"/>
        <v>13.081967213114755</v>
      </c>
      <c r="S11" s="95">
        <v>100000</v>
      </c>
      <c r="T11" s="95">
        <v>73100</v>
      </c>
      <c r="U11" s="95">
        <f t="shared" si="10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105239.6092357797</v>
      </c>
      <c r="AA11" s="3">
        <f t="shared" si="11"/>
        <v>13024.963655180403</v>
      </c>
      <c r="AC11">
        <v>17</v>
      </c>
      <c r="AF11" s="26"/>
    </row>
    <row r="12" spans="1:39" x14ac:dyDescent="0.25">
      <c r="A12" s="169" t="s">
        <v>3885</v>
      </c>
      <c r="B12" s="91">
        <f t="shared" si="12"/>
        <v>80875.756038290114</v>
      </c>
      <c r="C12" s="171">
        <f t="shared" si="0"/>
        <v>83668.72986251174</v>
      </c>
      <c r="D12" s="171">
        <f t="shared" si="1"/>
        <v>84024.588179777871</v>
      </c>
      <c r="E12" s="171">
        <f t="shared" si="2"/>
        <v>84381.96493033116</v>
      </c>
      <c r="F12" s="171">
        <f t="shared" si="3"/>
        <v>84740.866614196377</v>
      </c>
      <c r="G12" s="171">
        <f t="shared" si="4"/>
        <v>85101.299759295784</v>
      </c>
      <c r="H12" s="171">
        <f t="shared" si="5"/>
        <v>85463.270921603355</v>
      </c>
      <c r="I12" s="171">
        <f t="shared" si="6"/>
        <v>85826.786685235071</v>
      </c>
      <c r="J12" s="171">
        <f t="shared" si="7"/>
        <v>86191.853662589463</v>
      </c>
      <c r="K12" s="171">
        <f t="shared" si="13"/>
        <v>86558.478494474053</v>
      </c>
      <c r="L12" s="171">
        <f t="shared" si="8"/>
        <v>84381.96493033116</v>
      </c>
      <c r="M12" s="169" t="s">
        <v>3886</v>
      </c>
      <c r="N12" s="169">
        <f>512-$AD$19</f>
        <v>310</v>
      </c>
      <c r="O12" s="169">
        <v>0</v>
      </c>
      <c r="P12" s="169">
        <v>0</v>
      </c>
      <c r="Q12" s="169">
        <v>0</v>
      </c>
      <c r="R12" s="169">
        <f t="shared" si="9"/>
        <v>10.163934426229508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107448.54478380154</v>
      </c>
      <c r="AA12" s="3">
        <f t="shared" si="11"/>
        <v>14481.317064663328</v>
      </c>
      <c r="AF12" s="26"/>
    </row>
    <row r="13" spans="1:39" x14ac:dyDescent="0.25">
      <c r="A13" s="94" t="s">
        <v>3940</v>
      </c>
      <c r="B13" s="91">
        <f t="shared" si="12"/>
        <v>62776.2108214408</v>
      </c>
      <c r="C13" s="95">
        <f>$S13/(1+($AC$3-$O13+$P13)/36500)^$N13</f>
        <v>67629.874274793081</v>
      </c>
      <c r="D13" s="95">
        <f t="shared" si="1"/>
        <v>68262.433173846468</v>
      </c>
      <c r="E13" s="95">
        <f t="shared" si="2"/>
        <v>68900.917334475962</v>
      </c>
      <c r="F13" s="95">
        <f t="shared" si="3"/>
        <v>69545.382341658726</v>
      </c>
      <c r="G13" s="95">
        <f t="shared" si="4"/>
        <v>70195.884302556296</v>
      </c>
      <c r="H13" s="95">
        <f t="shared" si="5"/>
        <v>70852.479851489508</v>
      </c>
      <c r="I13" s="95">
        <f t="shared" si="6"/>
        <v>71515.226154842996</v>
      </c>
      <c r="J13" s="95">
        <f t="shared" si="7"/>
        <v>72184.180916106357</v>
      </c>
      <c r="K13" s="95">
        <f t="shared" si="13"/>
        <v>72859.402380936488</v>
      </c>
      <c r="L13" s="95">
        <f t="shared" si="8"/>
        <v>68900.917334475962</v>
      </c>
      <c r="M13" s="94" t="s">
        <v>3941</v>
      </c>
      <c r="N13" s="94">
        <f>882-$AD$19</f>
        <v>680</v>
      </c>
      <c r="O13" s="94">
        <v>0</v>
      </c>
      <c r="P13" s="94">
        <v>0</v>
      </c>
      <c r="Q13" s="94">
        <v>0</v>
      </c>
      <c r="R13" s="169">
        <f t="shared" si="9"/>
        <v>22.295081967213115</v>
      </c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109703.84496858653</v>
      </c>
      <c r="AA13" s="3">
        <f t="shared" si="11"/>
        <v>15968.011170177146</v>
      </c>
      <c r="AF13" s="26"/>
    </row>
    <row r="14" spans="1:39" x14ac:dyDescent="0.25">
      <c r="A14" s="94" t="s">
        <v>3993</v>
      </c>
      <c r="B14" s="91">
        <f t="shared" si="12"/>
        <v>61584.158839997821</v>
      </c>
      <c r="C14" s="95">
        <f>$S14/(1+($AC$3-$O14+$P14)/36500)^$N14</f>
        <v>66549.421761284873</v>
      </c>
      <c r="D14" s="95">
        <f t="shared" si="1"/>
        <v>67197.6297737001</v>
      </c>
      <c r="E14" s="95">
        <f t="shared" si="2"/>
        <v>67852.16049885031</v>
      </c>
      <c r="F14" s="95">
        <f t="shared" si="3"/>
        <v>68513.075697220163</v>
      </c>
      <c r="G14" s="95">
        <f t="shared" si="4"/>
        <v>69180.437733399231</v>
      </c>
      <c r="H14" s="95">
        <f t="shared" si="5"/>
        <v>69854.309582063011</v>
      </c>
      <c r="I14" s="95">
        <f t="shared" si="6"/>
        <v>70534.754833892322</v>
      </c>
      <c r="J14" s="95">
        <f t="shared" si="7"/>
        <v>71221.837701643803</v>
      </c>
      <c r="K14" s="95">
        <f t="shared" si="13"/>
        <v>71915.623026252564</v>
      </c>
      <c r="L14" s="95">
        <f t="shared" si="8"/>
        <v>67852.16049885031</v>
      </c>
      <c r="M14" s="94" t="s">
        <v>4281</v>
      </c>
      <c r="N14" s="94">
        <f>910-$AD$19</f>
        <v>708</v>
      </c>
      <c r="O14" s="94">
        <v>0</v>
      </c>
      <c r="P14" s="94">
        <v>0</v>
      </c>
      <c r="Q14" s="94">
        <v>0</v>
      </c>
      <c r="R14" s="169">
        <f t="shared" si="9"/>
        <v>23.21311475409836</v>
      </c>
      <c r="S14" s="95">
        <v>100000</v>
      </c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112006.48296454176</v>
      </c>
      <c r="AA14" s="3">
        <f t="shared" si="11"/>
        <v>17485.678069555834</v>
      </c>
      <c r="AF14" s="26"/>
    </row>
    <row r="15" spans="1:39" x14ac:dyDescent="0.25">
      <c r="A15" s="90" t="s">
        <v>1005</v>
      </c>
      <c r="B15" s="91">
        <f t="shared" si="12"/>
        <v>75611.291436788422</v>
      </c>
      <c r="C15" s="91">
        <f t="shared" si="0"/>
        <v>86188.871908018031</v>
      </c>
      <c r="D15" s="91">
        <f t="shared" si="1"/>
        <v>87611.214780954717</v>
      </c>
      <c r="E15" s="91">
        <f t="shared" si="2"/>
        <v>89057.050015089873</v>
      </c>
      <c r="F15" s="91">
        <f t="shared" si="3"/>
        <v>90526.765955621187</v>
      </c>
      <c r="G15" s="91">
        <f t="shared" si="4"/>
        <v>92020.757372896987</v>
      </c>
      <c r="H15" s="91">
        <f t="shared" si="5"/>
        <v>93539.425568741557</v>
      </c>
      <c r="I15" s="91">
        <f t="shared" si="6"/>
        <v>95083.178484471806</v>
      </c>
      <c r="J15" s="91">
        <f t="shared" si="7"/>
        <v>96652.430811140337</v>
      </c>
      <c r="K15" s="91">
        <f t="shared" si="13"/>
        <v>98247.604100994184</v>
      </c>
      <c r="L15" s="91">
        <f t="shared" si="8"/>
        <v>89057.050015089873</v>
      </c>
      <c r="M15" s="90" t="s">
        <v>1006</v>
      </c>
      <c r="N15" s="90">
        <f>1397-$AD$19</f>
        <v>1195</v>
      </c>
      <c r="O15" s="90">
        <v>17</v>
      </c>
      <c r="P15" s="90">
        <f>$AI$2</f>
        <v>0.54</v>
      </c>
      <c r="Q15" s="90">
        <v>6</v>
      </c>
      <c r="R15" s="90">
        <f t="shared" si="9"/>
        <v>39.180327868852459</v>
      </c>
      <c r="S15" s="91">
        <v>100000</v>
      </c>
      <c r="T15" s="91">
        <v>96000</v>
      </c>
      <c r="U15" s="91">
        <f t="shared" si="10"/>
        <v>171368.91021514731</v>
      </c>
      <c r="W15">
        <v>98</v>
      </c>
      <c r="X15">
        <v>2</v>
      </c>
      <c r="Y15">
        <f t="shared" si="15"/>
        <v>1185</v>
      </c>
      <c r="Z15" s="3">
        <f t="shared" si="14"/>
        <v>114357.4523725996</v>
      </c>
      <c r="AA15" s="3">
        <f t="shared" si="11"/>
        <v>19034.963029338247</v>
      </c>
      <c r="AC15" s="85">
        <f>AE2*((1+$AC$2/36500)^365)</f>
        <v>128391.55378787059</v>
      </c>
      <c r="AD15">
        <v>21.4</v>
      </c>
      <c r="AF15" s="26"/>
    </row>
    <row r="16" spans="1:39" x14ac:dyDescent="0.25">
      <c r="A16" s="92" t="s">
        <v>962</v>
      </c>
      <c r="B16" s="91">
        <f t="shared" si="12"/>
        <v>95621.152036388637</v>
      </c>
      <c r="C16" s="93">
        <f t="shared" si="0"/>
        <v>99490.538658939287</v>
      </c>
      <c r="D16" s="93">
        <f>$S16/(1+($AC$4-$O16+$P16)/36500)^$N16</f>
        <v>99985.124397257474</v>
      </c>
      <c r="E16" s="93">
        <f t="shared" si="2"/>
        <v>100482.17563787079</v>
      </c>
      <c r="F16" s="93">
        <f t="shared" si="3"/>
        <v>100981.70470530394</v>
      </c>
      <c r="G16" s="93">
        <f t="shared" si="4"/>
        <v>101483.72398584985</v>
      </c>
      <c r="H16" s="93">
        <f t="shared" si="5"/>
        <v>101988.24592789788</v>
      </c>
      <c r="I16" s="93">
        <f t="shared" si="6"/>
        <v>102495.28304222228</v>
      </c>
      <c r="J16" s="93">
        <f t="shared" si="7"/>
        <v>103004.8479023308</v>
      </c>
      <c r="K16" s="93">
        <f t="shared" si="13"/>
        <v>103516.95314475067</v>
      </c>
      <c r="L16" s="93">
        <f t="shared" si="8"/>
        <v>100482.17563787079</v>
      </c>
      <c r="M16" s="92" t="s">
        <v>977</v>
      </c>
      <c r="N16" s="92">
        <f>564-$AD$19</f>
        <v>362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9"/>
        <v>11.868852459016393</v>
      </c>
      <c r="S16" s="93">
        <v>100000</v>
      </c>
      <c r="T16" s="93">
        <v>100000</v>
      </c>
      <c r="U16" s="93">
        <f t="shared" si="10"/>
        <v>122517.56196459675</v>
      </c>
      <c r="W16">
        <v>98</v>
      </c>
      <c r="X16">
        <v>3</v>
      </c>
      <c r="Y16">
        <f t="shared" si="15"/>
        <v>1185</v>
      </c>
      <c r="Z16" s="3">
        <f t="shared" si="14"/>
        <v>116757.76764896198</v>
      </c>
      <c r="AA16" s="3">
        <f t="shared" si="11"/>
        <v>20616.524759116124</v>
      </c>
      <c r="AF16" s="26"/>
    </row>
    <row r="17" spans="1:32" x14ac:dyDescent="0.25">
      <c r="A17" s="94" t="s">
        <v>963</v>
      </c>
      <c r="B17" s="91">
        <f t="shared" si="12"/>
        <v>90593.591132182992</v>
      </c>
      <c r="C17" s="95">
        <f t="shared" si="0"/>
        <v>94434.754678749916</v>
      </c>
      <c r="D17" s="95">
        <f t="shared" si="1"/>
        <v>94926.243077692663</v>
      </c>
      <c r="E17" s="95">
        <f t="shared" si="2"/>
        <v>95420.296226618273</v>
      </c>
      <c r="F17" s="95">
        <f t="shared" si="3"/>
        <v>95916.927544630773</v>
      </c>
      <c r="G17" s="95">
        <f t="shared" si="4"/>
        <v>96416.150521265241</v>
      </c>
      <c r="H17" s="95">
        <f t="shared" si="5"/>
        <v>96917.978716793703</v>
      </c>
      <c r="I17" s="95">
        <f t="shared" si="6"/>
        <v>97422.425762645493</v>
      </c>
      <c r="J17" s="95">
        <f t="shared" si="7"/>
        <v>97929.505361765463</v>
      </c>
      <c r="K17" s="95">
        <f t="shared" si="13"/>
        <v>98439.231288966927</v>
      </c>
      <c r="L17" s="95">
        <f t="shared" si="8"/>
        <v>95420.296226618273</v>
      </c>
      <c r="M17" s="94" t="s">
        <v>978</v>
      </c>
      <c r="N17" s="94">
        <f>581-$AD$19</f>
        <v>379</v>
      </c>
      <c r="O17" s="94">
        <v>16</v>
      </c>
      <c r="P17" s="94">
        <f t="shared" si="16"/>
        <v>0.51500000000000001</v>
      </c>
      <c r="Q17" s="94">
        <v>3</v>
      </c>
      <c r="R17" s="94">
        <f t="shared" si="9"/>
        <v>12.426229508196721</v>
      </c>
      <c r="S17" s="95">
        <v>100000</v>
      </c>
      <c r="T17" s="95">
        <v>92000</v>
      </c>
      <c r="U17" s="95">
        <f t="shared" si="10"/>
        <v>117434.84319805093</v>
      </c>
      <c r="W17">
        <v>98</v>
      </c>
      <c r="X17">
        <v>4</v>
      </c>
      <c r="Y17">
        <f t="shared" si="15"/>
        <v>1185</v>
      </c>
      <c r="Z17" s="3">
        <f t="shared" si="14"/>
        <v>119208.46454284384</v>
      </c>
      <c r="AA17" s="3">
        <f t="shared" si="11"/>
        <v>22231.03569159771</v>
      </c>
      <c r="AF17" s="26"/>
    </row>
    <row r="18" spans="1:32" x14ac:dyDescent="0.25">
      <c r="A18" s="90" t="s">
        <v>956</v>
      </c>
      <c r="B18" s="91">
        <f t="shared" si="12"/>
        <v>94808.528999984977</v>
      </c>
      <c r="C18" s="91">
        <f t="shared" si="0"/>
        <v>99393.726303610412</v>
      </c>
      <c r="D18" s="91">
        <f t="shared" si="1"/>
        <v>99982.289243414314</v>
      </c>
      <c r="E18" s="91">
        <f t="shared" si="2"/>
        <v>100574.34551062962</v>
      </c>
      <c r="F18" s="91">
        <f t="shared" si="3"/>
        <v>101169.91588766804</v>
      </c>
      <c r="G18" s="91">
        <f t="shared" si="4"/>
        <v>101769.02128085536</v>
      </c>
      <c r="H18" s="91">
        <f t="shared" si="5"/>
        <v>102371.68272119299</v>
      </c>
      <c r="I18" s="91">
        <f t="shared" si="6"/>
        <v>102977.92136507525</v>
      </c>
      <c r="J18" s="91">
        <f t="shared" si="7"/>
        <v>103587.75849508024</v>
      </c>
      <c r="K18" s="91">
        <f t="shared" si="13"/>
        <v>104201.21552068929</v>
      </c>
      <c r="L18" s="91">
        <f t="shared" si="8"/>
        <v>100574.34551062962</v>
      </c>
      <c r="M18" s="90" t="s">
        <v>979</v>
      </c>
      <c r="N18" s="90">
        <f>633-$AD$19</f>
        <v>431</v>
      </c>
      <c r="O18" s="90">
        <v>21</v>
      </c>
      <c r="P18" s="90">
        <f t="shared" si="16"/>
        <v>0.51500000000000001</v>
      </c>
      <c r="Q18" s="90">
        <v>3</v>
      </c>
      <c r="R18" s="90">
        <f t="shared" si="9"/>
        <v>14.131147540983607</v>
      </c>
      <c r="S18" s="91">
        <v>100000</v>
      </c>
      <c r="T18" s="91">
        <v>100000</v>
      </c>
      <c r="U18" s="91">
        <f t="shared" si="10"/>
        <v>127353.13284441539</v>
      </c>
      <c r="W18">
        <v>98</v>
      </c>
      <c r="X18">
        <v>5</v>
      </c>
      <c r="Y18">
        <f t="shared" si="15"/>
        <v>1185</v>
      </c>
      <c r="Z18" s="3">
        <f t="shared" si="14"/>
        <v>121710.60054340457</v>
      </c>
      <c r="AA18" s="3">
        <f t="shared" si="11"/>
        <v>23879.182268505992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2"/>
        <v>94014.439946286948</v>
      </c>
      <c r="C19" s="93">
        <f t="shared" si="0"/>
        <v>99298.409194525535</v>
      </c>
      <c r="D19" s="93">
        <f t="shared" si="1"/>
        <v>99979.495257410992</v>
      </c>
      <c r="E19" s="93">
        <f t="shared" si="2"/>
        <v>100665.26230390256</v>
      </c>
      <c r="F19" s="93">
        <f t="shared" si="3"/>
        <v>101355.74257036447</v>
      </c>
      <c r="G19" s="93">
        <f t="shared" si="4"/>
        <v>102050.96851559496</v>
      </c>
      <c r="H19" s="93">
        <f t="shared" si="5"/>
        <v>102750.97282238863</v>
      </c>
      <c r="I19" s="93">
        <f t="shared" si="6"/>
        <v>103455.78839905281</v>
      </c>
      <c r="J19" s="93">
        <f t="shared" si="7"/>
        <v>104165.44838101492</v>
      </c>
      <c r="K19" s="93">
        <f t="shared" si="13"/>
        <v>104879.98613235276</v>
      </c>
      <c r="L19" s="93">
        <f t="shared" si="8"/>
        <v>100665.26230390256</v>
      </c>
      <c r="M19" s="92" t="s">
        <v>980</v>
      </c>
      <c r="N19" s="92">
        <f>701-$AD$19</f>
        <v>499</v>
      </c>
      <c r="O19" s="92">
        <v>21</v>
      </c>
      <c r="P19" s="92">
        <f t="shared" si="16"/>
        <v>0.51500000000000001</v>
      </c>
      <c r="Q19" s="92">
        <v>3</v>
      </c>
      <c r="R19" s="92">
        <f t="shared" si="9"/>
        <v>16.360655737704917</v>
      </c>
      <c r="S19" s="93">
        <v>100000</v>
      </c>
      <c r="T19" s="93">
        <v>100000</v>
      </c>
      <c r="U19" s="93">
        <f t="shared" si="10"/>
        <v>132305.31101379398</v>
      </c>
      <c r="W19">
        <v>98</v>
      </c>
      <c r="X19">
        <v>6</v>
      </c>
      <c r="Y19">
        <f t="shared" si="15"/>
        <v>1185</v>
      </c>
      <c r="Z19" s="3">
        <f t="shared" si="14"/>
        <v>124265.25533606041</v>
      </c>
      <c r="AA19" s="3">
        <f t="shared" si="11"/>
        <v>25561.665232433199</v>
      </c>
      <c r="AC19" t="s">
        <v>1051</v>
      </c>
      <c r="AD19">
        <v>202</v>
      </c>
      <c r="AF19" s="26"/>
    </row>
    <row r="20" spans="1:32" x14ac:dyDescent="0.25">
      <c r="A20" s="94" t="s">
        <v>964</v>
      </c>
      <c r="B20" s="91">
        <f t="shared" si="12"/>
        <v>89736.982681633657</v>
      </c>
      <c r="C20" s="95">
        <f t="shared" si="0"/>
        <v>95060.934743607009</v>
      </c>
      <c r="D20" s="95">
        <f t="shared" si="1"/>
        <v>95748.306315974158</v>
      </c>
      <c r="E20" s="95">
        <f t="shared" si="2"/>
        <v>96440.657688230902</v>
      </c>
      <c r="F20" s="95">
        <f t="shared" si="3"/>
        <v>97138.025006492651</v>
      </c>
      <c r="G20" s="95">
        <f t="shared" si="4"/>
        <v>97840.444679715758</v>
      </c>
      <c r="H20" s="95">
        <f t="shared" si="5"/>
        <v>98547.953381671337</v>
      </c>
      <c r="I20" s="95">
        <f t="shared" si="6"/>
        <v>99260.588052806415</v>
      </c>
      <c r="J20" s="95">
        <f t="shared" si="7"/>
        <v>99978.385902271024</v>
      </c>
      <c r="K20" s="95">
        <f t="shared" si="13"/>
        <v>100701.38440978878</v>
      </c>
      <c r="L20" s="95">
        <f t="shared" si="8"/>
        <v>96440.657688230902</v>
      </c>
      <c r="M20" s="94" t="s">
        <v>1004</v>
      </c>
      <c r="N20" s="94">
        <f>728-$AD$19</f>
        <v>526</v>
      </c>
      <c r="O20" s="94">
        <v>18</v>
      </c>
      <c r="P20" s="94">
        <f t="shared" si="16"/>
        <v>0.51500000000000001</v>
      </c>
      <c r="Q20" s="94">
        <v>3</v>
      </c>
      <c r="R20" s="94">
        <f t="shared" si="9"/>
        <v>17.245901639344261</v>
      </c>
      <c r="S20" s="95">
        <v>100000</v>
      </c>
      <c r="T20" s="95">
        <v>95000</v>
      </c>
      <c r="U20" s="95">
        <f t="shared" si="10"/>
        <v>128642.03498183058</v>
      </c>
      <c r="W20">
        <v>98</v>
      </c>
      <c r="X20" s="9">
        <v>7</v>
      </c>
      <c r="Y20">
        <f t="shared" si="15"/>
        <v>1185</v>
      </c>
      <c r="Z20" s="3">
        <f t="shared" si="14"/>
        <v>126873.53126837459</v>
      </c>
      <c r="AA20" s="3">
        <f t="shared" si="11"/>
        <v>27279.199924775556</v>
      </c>
      <c r="AF20" s="26"/>
    </row>
    <row r="21" spans="1:32" x14ac:dyDescent="0.25">
      <c r="A21" s="90" t="s">
        <v>965</v>
      </c>
      <c r="B21" s="91">
        <f t="shared" si="12"/>
        <v>88493.126839994788</v>
      </c>
      <c r="C21" s="91">
        <f t="shared" si="0"/>
        <v>93159.359197184516</v>
      </c>
      <c r="D21" s="91">
        <f t="shared" si="1"/>
        <v>93759.716055588709</v>
      </c>
      <c r="E21" s="91">
        <f t="shared" si="2"/>
        <v>94363.950160746332</v>
      </c>
      <c r="F21" s="91">
        <f t="shared" si="3"/>
        <v>94972.086606433164</v>
      </c>
      <c r="G21" s="91">
        <f t="shared" si="4"/>
        <v>95584.15064922368</v>
      </c>
      <c r="H21" s="91">
        <f t="shared" si="5"/>
        <v>96200.167709470348</v>
      </c>
      <c r="I21" s="91">
        <f t="shared" si="6"/>
        <v>96820.163372427021</v>
      </c>
      <c r="J21" s="91">
        <f t="shared" si="7"/>
        <v>97444.163389301306</v>
      </c>
      <c r="K21" s="91">
        <f t="shared" si="13"/>
        <v>98072.193678304728</v>
      </c>
      <c r="L21" s="91">
        <f t="shared" si="8"/>
        <v>94363.950160746332</v>
      </c>
      <c r="M21" s="90" t="s">
        <v>981</v>
      </c>
      <c r="N21" s="90">
        <f>671-$AD$19</f>
        <v>469</v>
      </c>
      <c r="O21" s="90">
        <v>16</v>
      </c>
      <c r="P21" s="90">
        <f t="shared" si="16"/>
        <v>0.51500000000000001</v>
      </c>
      <c r="Q21" s="90">
        <v>3</v>
      </c>
      <c r="R21" s="90">
        <f t="shared" si="9"/>
        <v>15.377049180327869</v>
      </c>
      <c r="S21" s="91">
        <v>100000</v>
      </c>
      <c r="T21" s="91">
        <v>90600</v>
      </c>
      <c r="U21" s="91">
        <f t="shared" si="10"/>
        <v>122003.26440995157</v>
      </c>
      <c r="W21">
        <v>98</v>
      </c>
      <c r="X21">
        <v>8</v>
      </c>
      <c r="Y21">
        <f t="shared" si="15"/>
        <v>1185</v>
      </c>
      <c r="Z21" s="3">
        <f t="shared" si="14"/>
        <v>129536.55382572641</v>
      </c>
      <c r="AA21" s="3">
        <f t="shared" si="11"/>
        <v>29032.516589875046</v>
      </c>
      <c r="AE21" s="25"/>
      <c r="AF21" s="26"/>
    </row>
    <row r="22" spans="1:32" x14ac:dyDescent="0.25">
      <c r="A22" s="92" t="s">
        <v>966</v>
      </c>
      <c r="B22" s="91">
        <f t="shared" si="12"/>
        <v>79766.06536547163</v>
      </c>
      <c r="C22" s="93">
        <f t="shared" si="0"/>
        <v>86911.148497577407</v>
      </c>
      <c r="D22" s="93">
        <f>$S22/(1+($AC$4-$O22+$P22)/36500)^$N22</f>
        <v>87848.214891543437</v>
      </c>
      <c r="E22" s="93">
        <f t="shared" si="2"/>
        <v>88795.397674311389</v>
      </c>
      <c r="F22" s="93">
        <f t="shared" si="3"/>
        <v>89752.806201287065</v>
      </c>
      <c r="G22" s="93">
        <f t="shared" si="4"/>
        <v>90720.551011519638</v>
      </c>
      <c r="H22" s="93">
        <f t="shared" si="5"/>
        <v>91698.743840444644</v>
      </c>
      <c r="I22" s="93">
        <f t="shared" si="6"/>
        <v>92687.497632990402</v>
      </c>
      <c r="J22" s="93">
        <f t="shared" si="7"/>
        <v>93686.926556541162</v>
      </c>
      <c r="K22" s="93">
        <f t="shared" si="13"/>
        <v>94697.146014310885</v>
      </c>
      <c r="L22" s="93">
        <f t="shared" si="8"/>
        <v>88795.397674311389</v>
      </c>
      <c r="M22" s="92" t="s">
        <v>982</v>
      </c>
      <c r="N22" s="92">
        <f>985-$AD$19</f>
        <v>783</v>
      </c>
      <c r="O22" s="92">
        <v>15</v>
      </c>
      <c r="P22" s="92">
        <f>$AI$2</f>
        <v>0.54</v>
      </c>
      <c r="Q22" s="92">
        <v>6</v>
      </c>
      <c r="R22" s="92">
        <f t="shared" si="9"/>
        <v>25.672131147540984</v>
      </c>
      <c r="S22" s="93">
        <v>100000</v>
      </c>
      <c r="T22" s="93">
        <v>85800</v>
      </c>
      <c r="U22" s="93">
        <f t="shared" si="10"/>
        <v>136348.75206331853</v>
      </c>
      <c r="W22">
        <v>98</v>
      </c>
      <c r="X22" s="9">
        <v>9</v>
      </c>
      <c r="Y22">
        <f t="shared" si="15"/>
        <v>1185</v>
      </c>
      <c r="Z22" s="3">
        <f t="shared" si="14"/>
        <v>132255.47211696432</v>
      </c>
      <c r="AA22" s="3">
        <f t="shared" si="11"/>
        <v>30822.360685497439</v>
      </c>
      <c r="AE22" s="25"/>
      <c r="AF22" s="26"/>
    </row>
    <row r="23" spans="1:32" x14ac:dyDescent="0.25">
      <c r="A23" s="94" t="s">
        <v>940</v>
      </c>
      <c r="B23" s="91">
        <f t="shared" si="12"/>
        <v>89562.254206857571</v>
      </c>
      <c r="C23" s="95">
        <f t="shared" si="0"/>
        <v>91155.485999253811</v>
      </c>
      <c r="D23" s="95">
        <f t="shared" si="1"/>
        <v>91356.63493221243</v>
      </c>
      <c r="E23" s="95">
        <f t="shared" si="2"/>
        <v>91558.23049501855</v>
      </c>
      <c r="F23" s="95">
        <f t="shared" si="3"/>
        <v>91760.273685506239</v>
      </c>
      <c r="G23" s="95">
        <f t="shared" si="4"/>
        <v>91962.765503742819</v>
      </c>
      <c r="H23" s="95">
        <f t="shared" si="5"/>
        <v>92165.706952053311</v>
      </c>
      <c r="I23" s="95">
        <f t="shared" si="6"/>
        <v>92369.099035008287</v>
      </c>
      <c r="J23" s="95">
        <f t="shared" si="7"/>
        <v>92572.942759439829</v>
      </c>
      <c r="K23" s="95">
        <f t="shared" si="13"/>
        <v>92777.239134449046</v>
      </c>
      <c r="L23" s="95">
        <f t="shared" si="8"/>
        <v>91558.23049501855</v>
      </c>
      <c r="M23" s="94" t="s">
        <v>983</v>
      </c>
      <c r="N23" s="94">
        <f>363-$AD$19</f>
        <v>161</v>
      </c>
      <c r="O23" s="94">
        <v>0</v>
      </c>
      <c r="P23" s="94">
        <v>0</v>
      </c>
      <c r="Q23" s="94">
        <v>0</v>
      </c>
      <c r="R23" s="94">
        <f t="shared" si="9"/>
        <v>5.278688524590164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135031.45937025268</v>
      </c>
      <c r="AA23" s="3">
        <f t="shared" si="11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85036.499390472745</v>
      </c>
      <c r="C24" s="91">
        <f t="shared" si="0"/>
        <v>95594.024668998827</v>
      </c>
      <c r="D24" s="91">
        <f t="shared" si="1"/>
        <v>97002.808780233725</v>
      </c>
      <c r="E24" s="91">
        <f t="shared" si="2"/>
        <v>98432.374089496807</v>
      </c>
      <c r="F24" s="91">
        <f t="shared" si="3"/>
        <v>99883.027434549003</v>
      </c>
      <c r="G24" s="91">
        <f t="shared" si="4"/>
        <v>101355.08018791904</v>
      </c>
      <c r="H24" s="91">
        <f t="shared" si="5"/>
        <v>102848.84832405703</v>
      </c>
      <c r="I24" s="91">
        <f t="shared" si="6"/>
        <v>104364.65248736386</v>
      </c>
      <c r="J24" s="91">
        <f t="shared" si="7"/>
        <v>105902.8180612779</v>
      </c>
      <c r="K24" s="91">
        <f t="shared" si="13"/>
        <v>107463.67523843542</v>
      </c>
      <c r="L24" s="91">
        <f t="shared" si="8"/>
        <v>98432.374089496807</v>
      </c>
      <c r="M24" s="90" t="s">
        <v>974</v>
      </c>
      <c r="N24" s="90">
        <f>1270-$AD$19</f>
        <v>1068</v>
      </c>
      <c r="O24" s="90">
        <v>20</v>
      </c>
      <c r="P24" s="90">
        <f>$AI$2</f>
        <v>0.54</v>
      </c>
      <c r="Q24" s="90">
        <v>6</v>
      </c>
      <c r="R24" s="90">
        <f t="shared" si="9"/>
        <v>35.016393442622949</v>
      </c>
      <c r="S24" s="91">
        <v>100000</v>
      </c>
      <c r="T24" s="91">
        <v>100000</v>
      </c>
      <c r="U24" s="91">
        <f t="shared" si="10"/>
        <v>176679.43988835733</v>
      </c>
      <c r="W24">
        <v>98</v>
      </c>
      <c r="X24">
        <v>11</v>
      </c>
      <c r="Y24">
        <f t="shared" si="15"/>
        <v>1185</v>
      </c>
      <c r="Z24" s="3">
        <f t="shared" si="14"/>
        <v>137865.71343932621</v>
      </c>
      <c r="AA24" s="3">
        <f t="shared" si="11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92" t="s">
        <v>975</v>
      </c>
      <c r="B25" s="91">
        <f t="shared" si="12"/>
        <v>98546.949820776528</v>
      </c>
      <c r="C25" s="93">
        <f t="shared" si="0"/>
        <v>100202.17804938581</v>
      </c>
      <c r="D25" s="93">
        <f t="shared" si="1"/>
        <v>100411.03977641367</v>
      </c>
      <c r="E25" s="93">
        <f t="shared" si="2"/>
        <v>100620.33972563136</v>
      </c>
      <c r="F25" s="93">
        <f t="shared" si="3"/>
        <v>100830.07882251688</v>
      </c>
      <c r="G25" s="93">
        <f t="shared" si="4"/>
        <v>101040.25799450904</v>
      </c>
      <c r="H25" s="93">
        <f t="shared" si="5"/>
        <v>101250.87817102618</v>
      </c>
      <c r="I25" s="93">
        <f t="shared" si="6"/>
        <v>101461.94028345817</v>
      </c>
      <c r="J25" s="93">
        <f t="shared" si="7"/>
        <v>101673.44526517438</v>
      </c>
      <c r="K25" s="93">
        <f t="shared" si="13"/>
        <v>101885.39405152935</v>
      </c>
      <c r="L25" s="93">
        <f t="shared" si="8"/>
        <v>100620.33972563136</v>
      </c>
      <c r="M25" s="92" t="s">
        <v>976</v>
      </c>
      <c r="N25" s="92">
        <f>354-$AD$19</f>
        <v>152</v>
      </c>
      <c r="O25" s="92">
        <v>22</v>
      </c>
      <c r="P25" s="92">
        <f>AI1</f>
        <v>0.51500000000000001</v>
      </c>
      <c r="Q25" s="92">
        <v>3</v>
      </c>
      <c r="R25" s="92">
        <f t="shared" si="9"/>
        <v>4.9836065573770494</v>
      </c>
      <c r="S25" s="93">
        <v>100000</v>
      </c>
      <c r="T25" s="93">
        <v>103000</v>
      </c>
      <c r="U25" s="93">
        <f t="shared" si="10"/>
        <v>109355.82706307335</v>
      </c>
      <c r="W25">
        <v>98</v>
      </c>
      <c r="X25">
        <v>12</v>
      </c>
      <c r="Y25">
        <f t="shared" si="15"/>
        <v>1185</v>
      </c>
      <c r="Z25" s="3">
        <f t="shared" si="14"/>
        <v>140759.45732037039</v>
      </c>
      <c r="AA25" s="3">
        <f t="shared" si="11"/>
        <v>36418.747036748478</v>
      </c>
      <c r="AE25" s="25"/>
      <c r="AF25" s="26"/>
    </row>
    <row r="26" spans="1:32" x14ac:dyDescent="0.25">
      <c r="A26" s="94" t="s">
        <v>997</v>
      </c>
      <c r="B26" s="91">
        <f t="shared" si="12"/>
        <v>93913.965824901345</v>
      </c>
      <c r="C26" s="95">
        <f t="shared" si="0"/>
        <v>100000</v>
      </c>
      <c r="D26" s="95">
        <f t="shared" si="1"/>
        <v>100788.02558887065</v>
      </c>
      <c r="E26" s="95">
        <f t="shared" si="2"/>
        <v>101582.27194394378</v>
      </c>
      <c r="F26" s="95">
        <f t="shared" si="3"/>
        <v>102382.78825891504</v>
      </c>
      <c r="G26" s="95">
        <f t="shared" si="4"/>
        <v>103189.6241171531</v>
      </c>
      <c r="H26" s="95">
        <f t="shared" si="5"/>
        <v>104002.82949487034</v>
      </c>
      <c r="I26" s="95">
        <f t="shared" si="6"/>
        <v>104822.45476415558</v>
      </c>
      <c r="J26" s="95">
        <f t="shared" si="7"/>
        <v>105648.55069617144</v>
      </c>
      <c r="K26" s="95">
        <f t="shared" si="13"/>
        <v>106481.16846429025</v>
      </c>
      <c r="L26" s="95">
        <f t="shared" si="8"/>
        <v>101582.27194394378</v>
      </c>
      <c r="M26" s="94" t="s">
        <v>998</v>
      </c>
      <c r="N26" s="94">
        <f>775-$AD$19</f>
        <v>573</v>
      </c>
      <c r="O26" s="94">
        <v>21</v>
      </c>
      <c r="P26" s="94">
        <v>0</v>
      </c>
      <c r="Q26" s="94">
        <v>1</v>
      </c>
      <c r="R26" s="94">
        <f t="shared" si="9"/>
        <v>18.78688524590164</v>
      </c>
      <c r="S26" s="95">
        <v>100000</v>
      </c>
      <c r="T26" s="95">
        <v>104000</v>
      </c>
      <c r="U26" s="95">
        <f t="shared" si="10"/>
        <v>139032.88872429298</v>
      </c>
      <c r="W26">
        <v>99</v>
      </c>
      <c r="X26">
        <v>1</v>
      </c>
      <c r="Y26">
        <f t="shared" si="15"/>
        <v>1185</v>
      </c>
      <c r="Z26" s="3">
        <f t="shared" si="14"/>
        <v>143713.93967975109</v>
      </c>
      <c r="AA26" s="3">
        <f t="shared" si="11"/>
        <v>38362.470933347402</v>
      </c>
      <c r="AE26" s="25"/>
      <c r="AF26" s="26"/>
    </row>
    <row r="27" spans="1:32" x14ac:dyDescent="0.25">
      <c r="A27" s="90" t="s">
        <v>1046</v>
      </c>
      <c r="B27" s="91">
        <f t="shared" si="12"/>
        <v>76787.818569717769</v>
      </c>
      <c r="C27" s="91">
        <f t="shared" si="0"/>
        <v>86899.291370659339</v>
      </c>
      <c r="D27" s="91">
        <f t="shared" si="1"/>
        <v>88253.540464183097</v>
      </c>
      <c r="E27" s="91">
        <f t="shared" si="2"/>
        <v>89628.91332435442</v>
      </c>
      <c r="F27" s="91">
        <f t="shared" si="3"/>
        <v>91025.739738719392</v>
      </c>
      <c r="G27" s="91">
        <f t="shared" si="4"/>
        <v>92444.354648218621</v>
      </c>
      <c r="H27" s="91">
        <f t="shared" si="5"/>
        <v>93885.098227723633</v>
      </c>
      <c r="I27" s="91">
        <f t="shared" si="6"/>
        <v>95348.315967766306</v>
      </c>
      <c r="J27" s="91">
        <f t="shared" si="7"/>
        <v>96834.358757962356</v>
      </c>
      <c r="K27" s="91">
        <f t="shared" si="13"/>
        <v>98343.582971160125</v>
      </c>
      <c r="L27" s="91">
        <f t="shared" si="8"/>
        <v>89628.91332435442</v>
      </c>
      <c r="M27" s="90" t="s">
        <v>1047</v>
      </c>
      <c r="N27" s="90">
        <f>1331-$AD$19</f>
        <v>1129</v>
      </c>
      <c r="O27" s="90">
        <v>17</v>
      </c>
      <c r="P27" s="90">
        <f>AI2</f>
        <v>0.54</v>
      </c>
      <c r="Q27" s="90">
        <v>6</v>
      </c>
      <c r="R27" s="90">
        <f t="shared" si="9"/>
        <v>37.016393442622949</v>
      </c>
      <c r="S27" s="91">
        <v>100000</v>
      </c>
      <c r="T27" s="91"/>
      <c r="U27" s="91">
        <f t="shared" si="10"/>
        <v>166345.83802259504</v>
      </c>
      <c r="W27">
        <v>99</v>
      </c>
      <c r="X27">
        <v>2</v>
      </c>
      <c r="Y27">
        <f t="shared" si="15"/>
        <v>1185</v>
      </c>
      <c r="Z27" s="3">
        <f t="shared" si="14"/>
        <v>146730.43539282086</v>
      </c>
      <c r="AA27" s="3">
        <f t="shared" si="11"/>
        <v>40346.689077792136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149810.24609403475</v>
      </c>
      <c r="AA28" s="3">
        <f t="shared" si="11"/>
        <v>42372.245100246138</v>
      </c>
      <c r="AC28" s="85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152954.70073861268</v>
      </c>
      <c r="AA29" s="3">
        <f t="shared" si="11"/>
        <v>44440.000206501267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156165.15617599085</v>
      </c>
      <c r="AA30" s="3">
        <f t="shared" si="11"/>
        <v>46550.833544136709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159442.99773530982</v>
      </c>
      <c r="AA31" s="3">
        <f t="shared" si="11"/>
        <v>48705.642576306222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162789.6398231916</v>
      </c>
      <c r="AA32" s="3">
        <f t="shared" si="11"/>
        <v>50905.343463312594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166206.5265340638</v>
      </c>
      <c r="AA33" s="3">
        <f t="shared" si="11"/>
        <v>53150.8714521316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 t="s">
        <v>25</v>
      </c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11"/>
        <v>55443.181274051007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173256.96239340576</v>
      </c>
      <c r="AA35" s="3">
        <f t="shared" si="11"/>
        <v>57783.247550593733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176893.55384364235</v>
      </c>
      <c r="AA36" s="3">
        <f t="shared" si="11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180606.47583317297</v>
      </c>
      <c r="AA37" s="3">
        <f t="shared" si="11"/>
        <v>62610.649899728967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184397.330508213</v>
      </c>
      <c r="AA38" s="3">
        <f t="shared" si="11"/>
        <v>65100.038439306649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188267.75364335935</v>
      </c>
      <c r="AA39" s="3">
        <f t="shared" si="11"/>
        <v>67641.289240125538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192219.41534743612</v>
      </c>
      <c r="AA40" s="3">
        <f t="shared" si="11"/>
        <v>70235.482765961482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196254.02078415576</v>
      </c>
      <c r="AA41" s="3">
        <f t="shared" si="11"/>
        <v>72883.721990252336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200373.31090790653</v>
      </c>
      <c r="AA42" s="3">
        <f t="shared" si="11"/>
        <v>75587.132865049251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204579.06321498394</v>
      </c>
      <c r="AA43" s="3">
        <f t="shared" si="11"/>
        <v>78346.86479973777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208873.0925105901</v>
      </c>
      <c r="AA44" s="3">
        <f t="shared" si="11"/>
        <v>81164.091149732296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213257.25169193218</v>
      </c>
      <c r="AA45" s="3">
        <f t="shared" si="11"/>
        <v>84040.009715351713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217733.43254775763</v>
      </c>
      <c r="AA46" s="3">
        <f t="shared" si="11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222303.56657467151</v>
      </c>
      <c r="AA47" s="3">
        <f t="shared" si="11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226969.62581058778</v>
      </c>
      <c r="AA48" s="3">
        <f t="shared" si="11"/>
        <v>93032.274151850143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231733.6236856746</v>
      </c>
      <c r="AA49" s="3">
        <f t="shared" si="11"/>
        <v>96155.44653001368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8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4222</v>
      </c>
      <c r="M39" s="69" t="s">
        <v>4221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14000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3959050.1607717038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4191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4274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-86</v>
      </c>
      <c r="C91" s="150">
        <f>$B$89/(1+(C$90/36500))^$B91</f>
        <v>3129936.7400848609</v>
      </c>
      <c r="D91" s="150">
        <f>$B$89/(1+(D$90/36500))^$B91</f>
        <v>3137316.3355699549</v>
      </c>
      <c r="E91" s="150">
        <f t="shared" ref="E91:K106" si="5">$B$89/(1+(E$90/36500))^$B91</f>
        <v>3144713.1274782219</v>
      </c>
      <c r="F91" s="150">
        <f t="shared" si="5"/>
        <v>3152127.1554093873</v>
      </c>
      <c r="G91" s="150">
        <f t="shared" si="5"/>
        <v>3159558.4590531741</v>
      </c>
      <c r="H91" s="150">
        <f t="shared" si="5"/>
        <v>3167007.0781898703</v>
      </c>
      <c r="I91" s="150">
        <f t="shared" si="5"/>
        <v>3174473.0526900608</v>
      </c>
      <c r="J91" s="150">
        <f t="shared" si="5"/>
        <v>3181956.4225150468</v>
      </c>
      <c r="K91" s="150">
        <f>$B$89/(1+(K$90/36500))^$B91</f>
        <v>3189457.2277171132</v>
      </c>
      <c r="L91" s="103"/>
    </row>
    <row r="92" spans="1:12" x14ac:dyDescent="0.25">
      <c r="A92" s="151" t="s">
        <v>3889</v>
      </c>
      <c r="B92" s="92">
        <f>120-'اوراق بدون ریسک'!$AD$19</f>
        <v>-82</v>
      </c>
      <c r="C92" s="152">
        <f t="shared" ref="C92:K112" si="6">$B$89/(1+(C$90/36500))^$B92</f>
        <v>3123770.2227259893</v>
      </c>
      <c r="D92" s="152">
        <f t="shared" si="6"/>
        <v>3130792.3336308901</v>
      </c>
      <c r="E92" s="152">
        <f t="shared" si="5"/>
        <v>3137830.0370285586</v>
      </c>
      <c r="F92" s="152">
        <f t="shared" si="5"/>
        <v>3144883.3671135153</v>
      </c>
      <c r="G92" s="152">
        <f t="shared" si="5"/>
        <v>3151952.3581542303</v>
      </c>
      <c r="H92" s="152">
        <f t="shared" si="5"/>
        <v>3159037.0444936301</v>
      </c>
      <c r="I92" s="152">
        <f t="shared" si="5"/>
        <v>3166137.4605488088</v>
      </c>
      <c r="J92" s="152">
        <f t="shared" si="5"/>
        <v>3173253.6408113879</v>
      </c>
      <c r="K92" s="152">
        <f t="shared" si="5"/>
        <v>3180385.6198477452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-65</v>
      </c>
      <c r="C93" s="155">
        <f t="shared" si="6"/>
        <v>3097697.7734589921</v>
      </c>
      <c r="D93" s="155">
        <f t="shared" si="6"/>
        <v>3103216.336800593</v>
      </c>
      <c r="E93" s="155">
        <f t="shared" si="5"/>
        <v>3108744.5799723347</v>
      </c>
      <c r="F93" s="155">
        <f t="shared" si="5"/>
        <v>3114282.5196873602</v>
      </c>
      <c r="G93" s="155">
        <f t="shared" si="5"/>
        <v>3119830.1726871342</v>
      </c>
      <c r="H93" s="155">
        <f t="shared" si="5"/>
        <v>3125387.5557417637</v>
      </c>
      <c r="I93" s="155">
        <f t="shared" si="5"/>
        <v>3130954.685649686</v>
      </c>
      <c r="J93" s="155">
        <f t="shared" si="5"/>
        <v>3136531.5792378895</v>
      </c>
      <c r="K93" s="155">
        <f t="shared" si="5"/>
        <v>3142118.2533619986</v>
      </c>
      <c r="L93" s="150">
        <f t="shared" ref="L93:L114" si="7">$B$89/(1+(L$92/36500))^$B91</f>
        <v>3196975.5084396731</v>
      </c>
    </row>
    <row r="94" spans="1:12" x14ac:dyDescent="0.25">
      <c r="A94" s="156" t="s">
        <v>3891</v>
      </c>
      <c r="B94" s="157">
        <f>116-'اوراق بدون ریسک'!$AD$19</f>
        <v>-86</v>
      </c>
      <c r="C94" s="158">
        <f t="shared" si="6"/>
        <v>3129936.7400848609</v>
      </c>
      <c r="D94" s="158">
        <f t="shared" si="6"/>
        <v>3137316.3355699549</v>
      </c>
      <c r="E94" s="158">
        <f t="shared" si="5"/>
        <v>3144713.1274782219</v>
      </c>
      <c r="F94" s="158">
        <f t="shared" si="5"/>
        <v>3152127.1554093873</v>
      </c>
      <c r="G94" s="158">
        <f t="shared" si="5"/>
        <v>3159558.4590531741</v>
      </c>
      <c r="H94" s="158">
        <f t="shared" si="5"/>
        <v>3167007.0781898703</v>
      </c>
      <c r="I94" s="158">
        <f t="shared" si="5"/>
        <v>3174473.0526900608</v>
      </c>
      <c r="J94" s="158">
        <f t="shared" si="5"/>
        <v>3181956.4225150468</v>
      </c>
      <c r="K94" s="158">
        <f t="shared" si="5"/>
        <v>3189457.2277171132</v>
      </c>
      <c r="L94" s="152">
        <f t="shared" si="7"/>
        <v>3187533.4322991064</v>
      </c>
    </row>
    <row r="95" spans="1:12" x14ac:dyDescent="0.25">
      <c r="A95" s="159" t="s">
        <v>3892</v>
      </c>
      <c r="B95" s="160">
        <f>167-'اوراق بدون ریسک'!$AD$19</f>
        <v>-35</v>
      </c>
      <c r="C95" s="161">
        <f t="shared" si="6"/>
        <v>3052217.293834981</v>
      </c>
      <c r="D95" s="161">
        <f t="shared" si="6"/>
        <v>3055143.9971337849</v>
      </c>
      <c r="E95" s="161">
        <f t="shared" si="5"/>
        <v>3058073.426527184</v>
      </c>
      <c r="F95" s="161">
        <f t="shared" si="5"/>
        <v>3061005.5844796645</v>
      </c>
      <c r="G95" s="161">
        <f t="shared" si="5"/>
        <v>3063940.4734578342</v>
      </c>
      <c r="H95" s="161">
        <f t="shared" si="5"/>
        <v>3066878.0959305628</v>
      </c>
      <c r="I95" s="161">
        <f t="shared" si="5"/>
        <v>3069818.4543688013</v>
      </c>
      <c r="J95" s="161">
        <f t="shared" si="5"/>
        <v>3072761.5512456717</v>
      </c>
      <c r="K95" s="161">
        <f t="shared" si="5"/>
        <v>3075707.3890364883</v>
      </c>
      <c r="L95" s="155">
        <f t="shared" si="7"/>
        <v>3147714.7249062806</v>
      </c>
    </row>
    <row r="96" spans="1:12" x14ac:dyDescent="0.25">
      <c r="A96" s="164" t="s">
        <v>3893</v>
      </c>
      <c r="B96" s="23">
        <f>181-'اوراق بدون ریسک'!$AD$19</f>
        <v>-21</v>
      </c>
      <c r="C96" s="165">
        <f t="shared" si="6"/>
        <v>3031222.1872341046</v>
      </c>
      <c r="D96" s="165">
        <f t="shared" si="6"/>
        <v>3032965.7958727931</v>
      </c>
      <c r="E96" s="165">
        <f t="shared" si="5"/>
        <v>3034710.3596779332</v>
      </c>
      <c r="F96" s="165">
        <f t="shared" si="5"/>
        <v>3036455.8791465964</v>
      </c>
      <c r="G96" s="165">
        <f t="shared" si="5"/>
        <v>3038202.3547760812</v>
      </c>
      <c r="H96" s="165">
        <f t="shared" si="5"/>
        <v>3039949.7870639879</v>
      </c>
      <c r="I96" s="165">
        <f t="shared" si="5"/>
        <v>3041698.1765081119</v>
      </c>
      <c r="J96" s="165">
        <f t="shared" si="5"/>
        <v>3043447.5236065006</v>
      </c>
      <c r="K96" s="165">
        <f t="shared" si="5"/>
        <v>3045197.8288574563</v>
      </c>
      <c r="L96" s="158">
        <f t="shared" si="7"/>
        <v>3196975.5084396731</v>
      </c>
    </row>
    <row r="97" spans="1:12" x14ac:dyDescent="0.25">
      <c r="A97" s="166" t="s">
        <v>3894</v>
      </c>
      <c r="B97" s="88">
        <f>197-'اوراق بدون ریسک'!$AD$19</f>
        <v>-5</v>
      </c>
      <c r="C97" s="146">
        <f t="shared" si="6"/>
        <v>3007404.559800793</v>
      </c>
      <c r="D97" s="146">
        <f t="shared" si="6"/>
        <v>3007816.35251567</v>
      </c>
      <c r="E97" s="146">
        <f t="shared" si="5"/>
        <v>3008228.190337508</v>
      </c>
      <c r="F97" s="146">
        <f t="shared" si="5"/>
        <v>3008640.0732700112</v>
      </c>
      <c r="G97" s="146">
        <f t="shared" si="5"/>
        <v>3009052.0013168822</v>
      </c>
      <c r="H97" s="146">
        <f t="shared" si="5"/>
        <v>3009463.9744818346</v>
      </c>
      <c r="I97" s="146">
        <f t="shared" si="5"/>
        <v>3009875.9927685703</v>
      </c>
      <c r="J97" s="146">
        <f t="shared" si="5"/>
        <v>3010288.0561807957</v>
      </c>
      <c r="K97" s="146">
        <f t="shared" si="5"/>
        <v>3010700.1647222172</v>
      </c>
      <c r="L97" s="161">
        <f t="shared" si="7"/>
        <v>3078655.9702187395</v>
      </c>
    </row>
    <row r="98" spans="1:12" x14ac:dyDescent="0.25">
      <c r="A98" s="167" t="s">
        <v>3895</v>
      </c>
      <c r="B98" s="23">
        <f>214-'اوراق بدون ریسک'!$AD$19</f>
        <v>12</v>
      </c>
      <c r="C98" s="110">
        <f t="shared" si="6"/>
        <v>2982303.3528553233</v>
      </c>
      <c r="D98" s="110">
        <f t="shared" si="6"/>
        <v>2981323.5272611454</v>
      </c>
      <c r="E98" s="110">
        <f t="shared" si="5"/>
        <v>2980344.0504023051</v>
      </c>
      <c r="F98" s="110">
        <f t="shared" si="5"/>
        <v>2979364.922145138</v>
      </c>
      <c r="G98" s="110">
        <f t="shared" si="5"/>
        <v>2978386.1423560451</v>
      </c>
      <c r="H98" s="110">
        <f t="shared" si="5"/>
        <v>2977407.7109014527</v>
      </c>
      <c r="I98" s="110">
        <f t="shared" si="5"/>
        <v>2976429.6276478684</v>
      </c>
      <c r="J98" s="110">
        <f t="shared" si="5"/>
        <v>2975451.8924618517</v>
      </c>
      <c r="K98" s="110">
        <f t="shared" si="5"/>
        <v>2974474.5052100094</v>
      </c>
      <c r="L98" s="165">
        <f t="shared" si="7"/>
        <v>3046949.0927595347</v>
      </c>
    </row>
    <row r="99" spans="1:12" x14ac:dyDescent="0.25">
      <c r="A99" s="168" t="s">
        <v>3896</v>
      </c>
      <c r="B99" s="169">
        <f>272-'اوراق بدون ریسک'!$AD$19</f>
        <v>70</v>
      </c>
      <c r="C99" s="170">
        <f t="shared" si="6"/>
        <v>2898230.127559274</v>
      </c>
      <c r="D99" s="170">
        <f t="shared" si="6"/>
        <v>2892680.0147962566</v>
      </c>
      <c r="E99" s="170">
        <f t="shared" si="5"/>
        <v>2887140.6820434616</v>
      </c>
      <c r="F99" s="170">
        <f t="shared" si="5"/>
        <v>2881612.1080685006</v>
      </c>
      <c r="G99" s="170">
        <f t="shared" si="5"/>
        <v>2876094.2716814619</v>
      </c>
      <c r="H99" s="170">
        <f t="shared" si="5"/>
        <v>2870587.1517345533</v>
      </c>
      <c r="I99" s="170">
        <f t="shared" si="5"/>
        <v>2865090.7271223678</v>
      </c>
      <c r="J99" s="170">
        <f t="shared" si="5"/>
        <v>2859604.9767816355</v>
      </c>
      <c r="K99" s="170">
        <f t="shared" si="5"/>
        <v>2854129.8796910904</v>
      </c>
      <c r="L99" s="146">
        <f t="shared" si="7"/>
        <v>3011112.3183965436</v>
      </c>
    </row>
    <row r="100" spans="1:12" x14ac:dyDescent="0.25">
      <c r="A100" s="153" t="s">
        <v>3897</v>
      </c>
      <c r="B100" s="154">
        <f>302-'اوراق بدون ریسک'!$AD$19</f>
        <v>100</v>
      </c>
      <c r="C100" s="155">
        <f t="shared" si="6"/>
        <v>2855678.2371226004</v>
      </c>
      <c r="D100" s="155">
        <f t="shared" si="6"/>
        <v>2847869.121475799</v>
      </c>
      <c r="E100" s="155">
        <f t="shared" si="5"/>
        <v>2840081.5735338577</v>
      </c>
      <c r="F100" s="155">
        <f t="shared" si="5"/>
        <v>2832315.5331416093</v>
      </c>
      <c r="G100" s="155">
        <f t="shared" si="5"/>
        <v>2824570.9403134151</v>
      </c>
      <c r="H100" s="155">
        <f t="shared" si="5"/>
        <v>2816847.735232302</v>
      </c>
      <c r="I100" s="155">
        <f t="shared" si="5"/>
        <v>2809145.8582499772</v>
      </c>
      <c r="J100" s="155">
        <f t="shared" si="5"/>
        <v>2801465.2498861197</v>
      </c>
      <c r="K100" s="155">
        <f t="shared" si="5"/>
        <v>2793805.8508278425</v>
      </c>
      <c r="L100" s="110">
        <f t="shared" si="7"/>
        <v>2973497.4657590026</v>
      </c>
    </row>
    <row r="101" spans="1:12" x14ac:dyDescent="0.25">
      <c r="A101" s="156" t="s">
        <v>3898</v>
      </c>
      <c r="B101" s="157">
        <f>319-'اوراق بدون ریسک'!$AD$19</f>
        <v>117</v>
      </c>
      <c r="C101" s="158">
        <f t="shared" si="6"/>
        <v>2831843.4091257863</v>
      </c>
      <c r="D101" s="158">
        <f t="shared" si="6"/>
        <v>2822785.1103060641</v>
      </c>
      <c r="E101" s="158">
        <f t="shared" si="5"/>
        <v>2813756.0333776358</v>
      </c>
      <c r="F101" s="158">
        <f t="shared" si="5"/>
        <v>2804756.0832749694</v>
      </c>
      <c r="G101" s="158">
        <f t="shared" si="5"/>
        <v>2795785.165244516</v>
      </c>
      <c r="H101" s="158">
        <f t="shared" si="5"/>
        <v>2786843.1848432398</v>
      </c>
      <c r="I101" s="158">
        <f t="shared" si="5"/>
        <v>2777930.0479381667</v>
      </c>
      <c r="J101" s="158">
        <f t="shared" si="5"/>
        <v>2769045.6607050826</v>
      </c>
      <c r="K101" s="158">
        <f t="shared" si="5"/>
        <v>2760189.929627453</v>
      </c>
      <c r="L101" s="170">
        <f t="shared" si="7"/>
        <v>2848665.4148714342</v>
      </c>
    </row>
    <row r="102" spans="1:12" x14ac:dyDescent="0.25">
      <c r="A102" s="153" t="s">
        <v>3899</v>
      </c>
      <c r="B102" s="154">
        <f>334-'اوراق بدون ریسک'!$AD$19</f>
        <v>132</v>
      </c>
      <c r="C102" s="155">
        <f t="shared" si="6"/>
        <v>2810977.9396372028</v>
      </c>
      <c r="D102" s="155">
        <f t="shared" si="6"/>
        <v>2800835.7022199044</v>
      </c>
      <c r="E102" s="155">
        <f t="shared" si="5"/>
        <v>2790730.3350407891</v>
      </c>
      <c r="F102" s="155">
        <f t="shared" si="5"/>
        <v>2780661.7030607956</v>
      </c>
      <c r="G102" s="155">
        <f t="shared" si="5"/>
        <v>2770629.6717392704</v>
      </c>
      <c r="H102" s="155">
        <f t="shared" si="5"/>
        <v>2760634.107031615</v>
      </c>
      <c r="I102" s="155">
        <f t="shared" si="5"/>
        <v>2750674.8753880882</v>
      </c>
      <c r="J102" s="155">
        <f t="shared" si="5"/>
        <v>2740751.8437516671</v>
      </c>
      <c r="K102" s="155">
        <f t="shared" si="5"/>
        <v>2730864.8795561343</v>
      </c>
      <c r="L102" s="155">
        <f t="shared" si="7"/>
        <v>2786167.6019292697</v>
      </c>
    </row>
    <row r="103" spans="1:12" x14ac:dyDescent="0.25">
      <c r="A103" s="156" t="s">
        <v>3900</v>
      </c>
      <c r="B103" s="157">
        <f>349-'اوراق بدون ریسک'!$AD$19</f>
        <v>147</v>
      </c>
      <c r="C103" s="158">
        <f t="shared" si="6"/>
        <v>2790266.2102232217</v>
      </c>
      <c r="D103" s="158">
        <f t="shared" si="6"/>
        <v>2779056.9683071254</v>
      </c>
      <c r="E103" s="158">
        <f t="shared" si="5"/>
        <v>2767893.0619894355</v>
      </c>
      <c r="F103" s="158">
        <f t="shared" si="5"/>
        <v>2756774.3066771831</v>
      </c>
      <c r="G103" s="158">
        <f t="shared" si="5"/>
        <v>2745700.5185341877</v>
      </c>
      <c r="H103" s="158">
        <f t="shared" si="5"/>
        <v>2734671.5144773843</v>
      </c>
      <c r="I103" s="158">
        <f t="shared" si="5"/>
        <v>2723687.112174429</v>
      </c>
      <c r="J103" s="158">
        <f t="shared" si="5"/>
        <v>2712747.1300402656</v>
      </c>
      <c r="K103" s="158">
        <f t="shared" si="5"/>
        <v>2701851.3872339604</v>
      </c>
      <c r="L103" s="158">
        <f t="shared" si="7"/>
        <v>2751362.7614954645</v>
      </c>
    </row>
    <row r="104" spans="1:12" x14ac:dyDescent="0.25">
      <c r="A104" s="168" t="s">
        <v>3901</v>
      </c>
      <c r="B104" s="169">
        <f>361-'اوراق بدون ریسک'!$AD$19</f>
        <v>159</v>
      </c>
      <c r="C104" s="170">
        <f t="shared" si="6"/>
        <v>2773806.7580358773</v>
      </c>
      <c r="D104" s="170">
        <f t="shared" si="6"/>
        <v>2761755.974404355</v>
      </c>
      <c r="E104" s="170">
        <f t="shared" si="5"/>
        <v>2749757.8731500115</v>
      </c>
      <c r="F104" s="170">
        <f t="shared" si="5"/>
        <v>2737812.2225283273</v>
      </c>
      <c r="G104" s="170">
        <f t="shared" si="5"/>
        <v>2725918.791820677</v>
      </c>
      <c r="H104" s="170">
        <f t="shared" si="5"/>
        <v>2714077.351329173</v>
      </c>
      <c r="I104" s="170">
        <f t="shared" si="5"/>
        <v>2702287.6723728781</v>
      </c>
      <c r="J104" s="170">
        <f t="shared" si="5"/>
        <v>2690549.5272829221</v>
      </c>
      <c r="K104" s="170">
        <f t="shared" si="5"/>
        <v>2678862.6893979041</v>
      </c>
      <c r="L104" s="155">
        <f t="shared" si="7"/>
        <v>2721013.850724333</v>
      </c>
    </row>
    <row r="105" spans="1:12" x14ac:dyDescent="0.25">
      <c r="A105" s="162" t="s">
        <v>3902</v>
      </c>
      <c r="B105" s="94">
        <f>372-'اوراق بدون ریسک'!$AD$19</f>
        <v>170</v>
      </c>
      <c r="C105" s="163">
        <f t="shared" si="6"/>
        <v>2758804.2338146926</v>
      </c>
      <c r="D105" s="163">
        <f t="shared" si="6"/>
        <v>2745991.3641494727</v>
      </c>
      <c r="E105" s="163">
        <f t="shared" si="5"/>
        <v>2733238.3504238706</v>
      </c>
      <c r="F105" s="163">
        <f t="shared" si="5"/>
        <v>2720544.9113904503</v>
      </c>
      <c r="G105" s="163">
        <f t="shared" si="5"/>
        <v>2707910.7671311116</v>
      </c>
      <c r="H105" s="163">
        <f t="shared" si="5"/>
        <v>2695335.6390501405</v>
      </c>
      <c r="I105" s="163">
        <f t="shared" si="5"/>
        <v>2682819.2498687385</v>
      </c>
      <c r="J105" s="163">
        <f t="shared" si="5"/>
        <v>2670361.3236183855</v>
      </c>
      <c r="K105" s="163">
        <f t="shared" si="5"/>
        <v>2657961.5856345114</v>
      </c>
      <c r="L105" s="158">
        <f t="shared" si="7"/>
        <v>2690999.7036557142</v>
      </c>
    </row>
    <row r="106" spans="1:12" x14ac:dyDescent="0.25">
      <c r="A106" s="156" t="s">
        <v>3903</v>
      </c>
      <c r="B106" s="157">
        <f>391-'اوراق بدون ریسک'!$AD$19</f>
        <v>189</v>
      </c>
      <c r="C106" s="158">
        <f t="shared" si="6"/>
        <v>2733081.6547605745</v>
      </c>
      <c r="D106" s="158">
        <f t="shared" si="6"/>
        <v>2718973.2429189691</v>
      </c>
      <c r="E106" s="158">
        <f t="shared" si="5"/>
        <v>2704938.0432981048</v>
      </c>
      <c r="F106" s="158">
        <f t="shared" si="5"/>
        <v>2690975.6739915814</v>
      </c>
      <c r="G106" s="158">
        <f t="shared" si="5"/>
        <v>2677085.7550957538</v>
      </c>
      <c r="H106" s="158">
        <f t="shared" si="5"/>
        <v>2663267.9086984983</v>
      </c>
      <c r="I106" s="158">
        <f t="shared" si="5"/>
        <v>2649521.7588696005</v>
      </c>
      <c r="J106" s="158">
        <f t="shared" si="5"/>
        <v>2635846.9316498912</v>
      </c>
      <c r="K106" s="158">
        <f t="shared" si="5"/>
        <v>2622243.0550407558</v>
      </c>
      <c r="L106" s="170">
        <f t="shared" si="7"/>
        <v>2667226.9330594982</v>
      </c>
    </row>
    <row r="107" spans="1:12" x14ac:dyDescent="0.25">
      <c r="A107" s="162" t="s">
        <v>3904</v>
      </c>
      <c r="B107" s="94">
        <f>407-'اوراق بدون ریسک'!$AD$19</f>
        <v>205</v>
      </c>
      <c r="C107" s="163">
        <f t="shared" si="6"/>
        <v>2711606.6468010601</v>
      </c>
      <c r="D107" s="163">
        <f t="shared" si="6"/>
        <v>2696427.4352295534</v>
      </c>
      <c r="E107" s="163">
        <f t="shared" si="6"/>
        <v>2681333.607016555</v>
      </c>
      <c r="F107" s="163">
        <f t="shared" si="6"/>
        <v>2666324.6795607307</v>
      </c>
      <c r="G107" s="163">
        <f t="shared" si="6"/>
        <v>2651400.1730018058</v>
      </c>
      <c r="H107" s="163">
        <f t="shared" si="6"/>
        <v>2636559.6102041793</v>
      </c>
      <c r="I107" s="163">
        <f t="shared" si="6"/>
        <v>2621802.516742344</v>
      </c>
      <c r="J107" s="163">
        <f t="shared" si="6"/>
        <v>2607128.4208849622</v>
      </c>
      <c r="K107" s="163">
        <f t="shared" si="6"/>
        <v>2592536.8535793889</v>
      </c>
      <c r="L107" s="163">
        <f t="shared" si="7"/>
        <v>2645619.7625503982</v>
      </c>
    </row>
    <row r="108" spans="1:12" x14ac:dyDescent="0.25">
      <c r="A108" s="153" t="s">
        <v>3905</v>
      </c>
      <c r="B108" s="154">
        <f>573-'اوراق بدون ریسک'!$AD$19</f>
        <v>371</v>
      </c>
      <c r="C108" s="155">
        <f t="shared" si="6"/>
        <v>2498519.8158934549</v>
      </c>
      <c r="D108" s="155">
        <f t="shared" si="6"/>
        <v>2473265.2681718096</v>
      </c>
      <c r="E108" s="155">
        <f t="shared" si="6"/>
        <v>2448266.6695346441</v>
      </c>
      <c r="F108" s="155">
        <f t="shared" si="6"/>
        <v>2423521.4190941588</v>
      </c>
      <c r="G108" s="155">
        <f t="shared" si="6"/>
        <v>2399026.9424625807</v>
      </c>
      <c r="H108" s="155">
        <f t="shared" si="6"/>
        <v>2374780.6914802263</v>
      </c>
      <c r="I108" s="155">
        <f t="shared" si="6"/>
        <v>2350780.143949152</v>
      </c>
      <c r="J108" s="155">
        <f t="shared" si="6"/>
        <v>2327022.8033672106</v>
      </c>
      <c r="K108" s="155">
        <f t="shared" si="6"/>
        <v>2303506.1986653884</v>
      </c>
      <c r="L108" s="158">
        <f t="shared" si="7"/>
        <v>2608709.7589939092</v>
      </c>
    </row>
    <row r="109" spans="1:12" x14ac:dyDescent="0.25">
      <c r="A109" s="162" t="s">
        <v>3906</v>
      </c>
      <c r="B109" s="94">
        <f>579-'اوراق بدون ریسک'!$AD$19</f>
        <v>377</v>
      </c>
      <c r="C109" s="163">
        <f t="shared" si="6"/>
        <v>2491139.6788946087</v>
      </c>
      <c r="D109" s="163">
        <f t="shared" si="6"/>
        <v>2465554.6035416238</v>
      </c>
      <c r="E109" s="163">
        <f t="shared" si="6"/>
        <v>2440232.9877290609</v>
      </c>
      <c r="F109" s="163">
        <f t="shared" si="6"/>
        <v>2415172.111407904</v>
      </c>
      <c r="G109" s="163">
        <f t="shared" si="6"/>
        <v>2390369.2826855611</v>
      </c>
      <c r="H109" s="163">
        <f t="shared" si="6"/>
        <v>2365821.8375324211</v>
      </c>
      <c r="I109" s="163">
        <f t="shared" si="6"/>
        <v>2341527.1394942803</v>
      </c>
      <c r="J109" s="163">
        <f t="shared" si="6"/>
        <v>2317482.5794054298</v>
      </c>
      <c r="K109" s="163">
        <f t="shared" si="6"/>
        <v>2293685.5751052839</v>
      </c>
      <c r="L109" s="163">
        <f t="shared" si="7"/>
        <v>2578027.348436492</v>
      </c>
    </row>
    <row r="110" spans="1:12" x14ac:dyDescent="0.25">
      <c r="A110" s="156" t="s">
        <v>3907</v>
      </c>
      <c r="B110" s="157">
        <f>753-'اوراق بدون ریسک'!$AD$19</f>
        <v>551</v>
      </c>
      <c r="C110" s="158">
        <f t="shared" si="6"/>
        <v>2286342.182238909</v>
      </c>
      <c r="D110" s="158">
        <f t="shared" si="6"/>
        <v>2252104.2406594846</v>
      </c>
      <c r="E110" s="158">
        <f t="shared" si="6"/>
        <v>2218379.9283033102</v>
      </c>
      <c r="F110" s="158">
        <f t="shared" si="6"/>
        <v>2185161.5260815215</v>
      </c>
      <c r="G110" s="158">
        <f t="shared" si="6"/>
        <v>2152441.431118838</v>
      </c>
      <c r="H110" s="158">
        <f t="shared" si="6"/>
        <v>2120212.1549992068</v>
      </c>
      <c r="I110" s="158">
        <f t="shared" si="6"/>
        <v>2088466.3220416629</v>
      </c>
      <c r="J110" s="158">
        <f t="shared" si="6"/>
        <v>2057196.6675991656</v>
      </c>
      <c r="K110" s="158">
        <f t="shared" si="6"/>
        <v>2026396.0363838661</v>
      </c>
      <c r="L110" s="155">
        <f t="shared" si="7"/>
        <v>2280227.8839482027</v>
      </c>
    </row>
    <row r="111" spans="1:12" x14ac:dyDescent="0.25">
      <c r="A111" s="168" t="s">
        <v>3908</v>
      </c>
      <c r="B111" s="169">
        <f>757-'اوراق بدون ریسک'!$AD$19</f>
        <v>555</v>
      </c>
      <c r="C111" s="170">
        <f t="shared" si="6"/>
        <v>2281837.692236112</v>
      </c>
      <c r="D111" s="170">
        <f t="shared" si="6"/>
        <v>2247421.0239030304</v>
      </c>
      <c r="E111" s="170">
        <f t="shared" si="6"/>
        <v>2213524.3789799693</v>
      </c>
      <c r="F111" s="170">
        <f t="shared" si="6"/>
        <v>2180139.8861835068</v>
      </c>
      <c r="G111" s="170">
        <f t="shared" si="6"/>
        <v>2147259.7935842504</v>
      </c>
      <c r="H111" s="170">
        <f t="shared" si="6"/>
        <v>2114876.4667922263</v>
      </c>
      <c r="I111" s="170">
        <f t="shared" si="6"/>
        <v>2082982.3871736296</v>
      </c>
      <c r="J111" s="170">
        <f t="shared" si="6"/>
        <v>2051570.150091595</v>
      </c>
      <c r="K111" s="170">
        <f t="shared" si="6"/>
        <v>2020632.4631744914</v>
      </c>
      <c r="L111" s="163">
        <f t="shared" si="7"/>
        <v>2270133.5711583314</v>
      </c>
    </row>
    <row r="112" spans="1:12" x14ac:dyDescent="0.25">
      <c r="A112" s="153" t="s">
        <v>3909</v>
      </c>
      <c r="B112" s="154">
        <f>774-'اوراق بدون ریسک'!$AD$19</f>
        <v>572</v>
      </c>
      <c r="C112" s="155">
        <f t="shared" si="6"/>
        <v>2262792.4061796903</v>
      </c>
      <c r="D112" s="155">
        <f t="shared" si="6"/>
        <v>2227625.7553488822</v>
      </c>
      <c r="E112" s="155">
        <f t="shared" si="6"/>
        <v>2193006.5792559613</v>
      </c>
      <c r="F112" s="155">
        <f t="shared" si="6"/>
        <v>2158926.3401670097</v>
      </c>
      <c r="G112" s="155">
        <f t="shared" si="6"/>
        <v>2125376.6337207737</v>
      </c>
      <c r="H112" s="155">
        <f t="shared" si="6"/>
        <v>2092349.1868399526</v>
      </c>
      <c r="I112" s="155">
        <f t="shared" si="6"/>
        <v>2059835.8556790485</v>
      </c>
      <c r="J112" s="155">
        <f t="shared" si="6"/>
        <v>2027828.6236012154</v>
      </c>
      <c r="K112" s="155">
        <f t="shared" si="6"/>
        <v>1996319.5991875771</v>
      </c>
      <c r="L112" s="158">
        <f t="shared" si="7"/>
        <v>1996057.3808181765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1990162.1446110578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1965301.0142782573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2018-10-08T15:46:42Z</dcterms:modified>
</cp:coreProperties>
</file>