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5"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V77" i="18" l="1"/>
  <c r="W77" i="18" s="1"/>
  <c r="S77" i="18"/>
  <c r="P198" i="18"/>
  <c r="P223" i="52"/>
  <c r="O223" i="52"/>
  <c r="W349" i="18"/>
  <c r="X77" i="18" l="1"/>
  <c r="J222" i="52"/>
  <c r="W348" i="18"/>
  <c r="L46" i="18"/>
  <c r="L50" i="18"/>
  <c r="W347" i="18" l="1"/>
  <c r="W346" i="18"/>
  <c r="O220" i="52" l="1"/>
  <c r="W345" i="18" l="1"/>
  <c r="W344" i="18"/>
  <c r="J218" i="52" l="1"/>
  <c r="P25" i="18" l="1"/>
  <c r="N25" i="18" s="1"/>
  <c r="P24" i="18" l="1"/>
  <c r="N24" i="18" s="1"/>
  <c r="P32" i="18"/>
  <c r="N32" i="18" s="1"/>
  <c r="N49" i="18"/>
  <c r="J217" i="52"/>
  <c r="P53"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7" i="18"/>
  <c r="D352" i="15" l="1"/>
  <c r="F353" i="15"/>
  <c r="F352" i="15" l="1"/>
  <c r="D351" i="15"/>
  <c r="O213" i="52"/>
  <c r="J213" i="52"/>
  <c r="N214" i="52"/>
  <c r="N215" i="52"/>
  <c r="O215" i="52"/>
  <c r="N216" i="52"/>
  <c r="O216" i="52"/>
  <c r="N217" i="52"/>
  <c r="O217" i="52"/>
  <c r="N218" i="52"/>
  <c r="O218" i="52"/>
  <c r="N219" i="52"/>
  <c r="O219" i="52"/>
  <c r="N220" i="52"/>
  <c r="N221" i="52"/>
  <c r="O221" i="52"/>
  <c r="N222" i="52"/>
  <c r="P222" i="52" s="1"/>
  <c r="O222" i="52"/>
  <c r="N223" i="52"/>
  <c r="N224" i="52"/>
  <c r="O224" i="52"/>
  <c r="N225" i="52"/>
  <c r="O225" i="52"/>
  <c r="N226" i="52"/>
  <c r="O226" i="52"/>
  <c r="N227" i="52"/>
  <c r="O227" i="52"/>
  <c r="N228" i="52"/>
  <c r="O228" i="52"/>
  <c r="N229" i="52"/>
  <c r="O229" i="52"/>
  <c r="N230" i="52"/>
  <c r="O230" i="52"/>
  <c r="N231" i="52"/>
  <c r="O231" i="52"/>
  <c r="N232" i="52"/>
  <c r="O232" i="52"/>
  <c r="N233" i="52"/>
  <c r="O233" i="52"/>
  <c r="N234" i="52"/>
  <c r="O234" i="52"/>
  <c r="N235" i="52"/>
  <c r="O235" i="52"/>
  <c r="N236" i="52"/>
  <c r="O236" i="52"/>
  <c r="N237" i="52"/>
  <c r="O237" i="52"/>
  <c r="N238" i="52"/>
  <c r="O238" i="52"/>
  <c r="N239" i="52"/>
  <c r="O239" i="52"/>
  <c r="N240" i="52"/>
  <c r="O240" i="52"/>
  <c r="N241" i="52"/>
  <c r="O241" i="52"/>
  <c r="N242" i="52"/>
  <c r="O242" i="52"/>
  <c r="N243" i="52"/>
  <c r="O243" i="52"/>
  <c r="J214" i="52"/>
  <c r="J215" i="52"/>
  <c r="J216" i="52"/>
  <c r="J219" i="52"/>
  <c r="J220" i="52"/>
  <c r="J221" i="52"/>
  <c r="J223" i="52"/>
  <c r="J224" i="52"/>
  <c r="J225" i="52"/>
  <c r="J226" i="52"/>
  <c r="J227" i="52"/>
  <c r="J228" i="52"/>
  <c r="J229" i="52"/>
  <c r="J230" i="52"/>
  <c r="J231" i="52"/>
  <c r="J232" i="52"/>
  <c r="J233" i="52"/>
  <c r="J234" i="52"/>
  <c r="J235" i="52"/>
  <c r="J236" i="52"/>
  <c r="J237" i="52"/>
  <c r="J238" i="52"/>
  <c r="J239" i="52"/>
  <c r="J240" i="52"/>
  <c r="J241" i="52"/>
  <c r="J242" i="52"/>
  <c r="J243" i="52"/>
  <c r="W343" i="18"/>
  <c r="O212" i="52"/>
  <c r="P220" i="52" l="1"/>
  <c r="P218" i="52"/>
  <c r="P216" i="52"/>
  <c r="P230" i="52"/>
  <c r="P224" i="52"/>
  <c r="P233" i="52"/>
  <c r="P217" i="52"/>
  <c r="P231" i="52"/>
  <c r="P242" i="52"/>
  <c r="P238" i="52"/>
  <c r="P234" i="52"/>
  <c r="P229" i="52"/>
  <c r="P225" i="52"/>
  <c r="P240" i="52"/>
  <c r="P232" i="52"/>
  <c r="P239" i="52"/>
  <c r="P237" i="52"/>
  <c r="P226" i="52"/>
  <c r="P221" i="52"/>
  <c r="P215" i="52"/>
  <c r="D350" i="15"/>
  <c r="F351" i="15"/>
  <c r="P243" i="52"/>
  <c r="P241" i="52"/>
  <c r="P235" i="52"/>
  <c r="P227" i="52"/>
  <c r="P219" i="52"/>
  <c r="P236" i="52"/>
  <c r="P228" i="52"/>
  <c r="J212" i="52"/>
  <c r="D93" i="52"/>
  <c r="D349" i="15" l="1"/>
  <c r="F350" i="15"/>
  <c r="O211" i="52"/>
  <c r="D348" i="15" l="1"/>
  <c r="F349" i="15"/>
  <c r="J211" i="52"/>
  <c r="G145" i="18"/>
  <c r="J145" i="18" s="1"/>
  <c r="G144" i="18"/>
  <c r="J144" i="18" s="1"/>
  <c r="W342" i="18"/>
  <c r="F348" i="15" l="1"/>
  <c r="D347" i="15"/>
  <c r="I146" i="18"/>
  <c r="O210" i="52"/>
  <c r="W341" i="18"/>
  <c r="D346" i="15" l="1"/>
  <c r="F347" i="15"/>
  <c r="J210" i="52"/>
  <c r="D345" i="15" l="1"/>
  <c r="F346" i="15"/>
  <c r="J209" i="52"/>
  <c r="O208" i="52"/>
  <c r="J208" i="52"/>
  <c r="D344" i="15" l="1"/>
  <c r="F345" i="15"/>
  <c r="W340" i="18"/>
  <c r="F344" i="15" l="1"/>
  <c r="D343" i="15"/>
  <c r="O207" i="52"/>
  <c r="J207" i="52"/>
  <c r="W339" i="18"/>
  <c r="D342" i="15" l="1"/>
  <c r="F343" i="15"/>
  <c r="W338" i="18"/>
  <c r="D341" i="15" l="1"/>
  <c r="F342" i="15"/>
  <c r="W337" i="18"/>
  <c r="D340" i="15" l="1"/>
  <c r="F341" i="15"/>
  <c r="O204" i="52"/>
  <c r="F340" i="15" l="1"/>
  <c r="D339" i="15"/>
  <c r="J203" i="52"/>
  <c r="U351" i="18"/>
  <c r="W336"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4" i="18"/>
  <c r="J124" i="18" s="1"/>
  <c r="D337" i="15" l="1"/>
  <c r="F338" i="15"/>
  <c r="W335" i="18"/>
  <c r="W334" i="18"/>
  <c r="W333" i="18"/>
  <c r="J202" i="52"/>
  <c r="D336" i="15" l="1"/>
  <c r="F337" i="15"/>
  <c r="W332" i="18"/>
  <c r="J201" i="52"/>
  <c r="W331" i="18"/>
  <c r="AB93" i="52"/>
  <c r="F336" i="15" l="1"/>
  <c r="D335" i="15"/>
  <c r="AC93" i="52"/>
  <c r="J200" i="52"/>
  <c r="D334" i="15" l="1"/>
  <c r="F335" i="15"/>
  <c r="W330" i="18"/>
  <c r="W329" i="18"/>
  <c r="AL216" i="18"/>
  <c r="AL215" i="18" s="1"/>
  <c r="AL214" i="18" l="1"/>
  <c r="AM215" i="18"/>
  <c r="F334" i="15"/>
  <c r="D333" i="15"/>
  <c r="AM216" i="18"/>
  <c r="W328" i="18"/>
  <c r="P31" i="18"/>
  <c r="N31"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7" i="18"/>
  <c r="AL210" i="18" l="1"/>
  <c r="AM211" i="18"/>
  <c r="F330" i="15"/>
  <c r="D329" i="15"/>
  <c r="AM210" i="18" l="1"/>
  <c r="AL209" i="18"/>
  <c r="D328" i="15"/>
  <c r="F329" i="15"/>
  <c r="W326" i="18"/>
  <c r="D101" i="58"/>
  <c r="AL208" i="18" l="1"/>
  <c r="AM209" i="18"/>
  <c r="D327" i="15"/>
  <c r="F328" i="15"/>
  <c r="W325" i="18"/>
  <c r="AB92" i="52"/>
  <c r="AB102" i="52" s="1"/>
  <c r="AB103" i="52" s="1"/>
  <c r="AM208" i="18" l="1"/>
  <c r="AL207" i="18"/>
  <c r="F327" i="15"/>
  <c r="D326" i="15"/>
  <c r="AC92" i="52"/>
  <c r="AM207" i="18" l="1"/>
  <c r="AL206" i="18"/>
  <c r="F326" i="15"/>
  <c r="D325" i="15"/>
  <c r="J195" i="52"/>
  <c r="O195" i="52"/>
  <c r="J194" i="52"/>
  <c r="W324" i="18"/>
  <c r="O13" i="18"/>
  <c r="AM206" i="18" l="1"/>
  <c r="AL205" i="18"/>
  <c r="F325" i="15"/>
  <c r="D324" i="15"/>
  <c r="N194" i="52"/>
  <c r="W323" i="18"/>
  <c r="W322" i="18"/>
  <c r="AB91" i="52"/>
  <c r="AM205" i="18" l="1"/>
  <c r="AL204" i="18"/>
  <c r="F324" i="15"/>
  <c r="D323" i="15"/>
  <c r="AC91" i="52"/>
  <c r="AB90" i="52"/>
  <c r="W321" i="18"/>
  <c r="AB89" i="52"/>
  <c r="AB101" i="52" s="1"/>
  <c r="AM204" i="18" l="1"/>
  <c r="AL203" i="18"/>
  <c r="F323" i="15"/>
  <c r="D322" i="15"/>
  <c r="AC89" i="52"/>
  <c r="AC90" i="52"/>
  <c r="R195" i="18"/>
  <c r="AM203" i="18" l="1"/>
  <c r="AL202" i="18"/>
  <c r="F322" i="15"/>
  <c r="D321" i="15"/>
  <c r="W320" i="18"/>
  <c r="AL201" i="18" l="1"/>
  <c r="AM202" i="18"/>
  <c r="F321" i="15"/>
  <c r="D320" i="15"/>
  <c r="G132" i="18"/>
  <c r="J132" i="18" s="1"/>
  <c r="G131" i="18"/>
  <c r="J131" i="18" s="1"/>
  <c r="W319" i="18"/>
  <c r="O190" i="52"/>
  <c r="J190" i="52"/>
  <c r="AM201" i="18" l="1"/>
  <c r="AL200" i="18"/>
  <c r="F320" i="15"/>
  <c r="D319" i="15"/>
  <c r="W318" i="18"/>
  <c r="AB88" i="52"/>
  <c r="AL199" i="18" l="1"/>
  <c r="AM200" i="18"/>
  <c r="F319" i="15"/>
  <c r="D318" i="15"/>
  <c r="AC88" i="52"/>
  <c r="N53" i="18"/>
  <c r="N51" i="18"/>
  <c r="AL198" i="18" l="1"/>
  <c r="AM199" i="18"/>
  <c r="F318" i="15"/>
  <c r="D317" i="15"/>
  <c r="O187" i="52"/>
  <c r="W317" i="18"/>
  <c r="AL197" i="18" l="1"/>
  <c r="AM198" i="18"/>
  <c r="F317" i="15"/>
  <c r="D316" i="15"/>
  <c r="J186" i="52"/>
  <c r="W316" i="18"/>
  <c r="W304" i="18"/>
  <c r="W303" i="18"/>
  <c r="AM197" i="18" l="1"/>
  <c r="AL196" i="18"/>
  <c r="F316" i="15"/>
  <c r="D315" i="15"/>
  <c r="J185" i="52"/>
  <c r="P30" i="18"/>
  <c r="N30" i="18" s="1"/>
  <c r="W315" i="18"/>
  <c r="AM196" i="18" l="1"/>
  <c r="AL195" i="18"/>
  <c r="F315" i="15"/>
  <c r="D314" i="15"/>
  <c r="AB86" i="52"/>
  <c r="AB87" i="52"/>
  <c r="AB97" i="52"/>
  <c r="AC97" i="52" s="1"/>
  <c r="AM195" i="18" l="1"/>
  <c r="AL194" i="18"/>
  <c r="F314" i="15"/>
  <c r="D313" i="15"/>
  <c r="AC87" i="52"/>
  <c r="AC86" i="52"/>
  <c r="AB85" i="52"/>
  <c r="AM194" i="18" l="1"/>
  <c r="AL193" i="18"/>
  <c r="F313" i="15"/>
  <c r="D312" i="15"/>
  <c r="AC85" i="52"/>
  <c r="M109" i="18"/>
  <c r="N181" i="52"/>
  <c r="AM193" i="18" l="1"/>
  <c r="AL192" i="18"/>
  <c r="F312" i="15"/>
  <c r="D311" i="15"/>
  <c r="W314" i="18"/>
  <c r="B8" i="36"/>
  <c r="AM192" i="18" l="1"/>
  <c r="AL191" i="18"/>
  <c r="AM191" i="18" s="1"/>
  <c r="F311" i="15"/>
  <c r="D310" i="15"/>
  <c r="O178" i="52"/>
  <c r="J178" i="52"/>
  <c r="F310" i="15" l="1"/>
  <c r="D309" i="15"/>
  <c r="N23" i="18"/>
  <c r="N48" i="18"/>
  <c r="W313" i="18"/>
  <c r="O177" i="52"/>
  <c r="J177" i="52"/>
  <c r="AB84" i="52"/>
  <c r="AC84" i="52" s="1"/>
  <c r="F309" i="15" l="1"/>
  <c r="D308" i="15"/>
  <c r="AB83" i="52"/>
  <c r="O176" i="52"/>
  <c r="J176" i="52"/>
  <c r="F308" i="15" l="1"/>
  <c r="D307" i="15"/>
  <c r="F307" i="15" s="1"/>
  <c r="AC83" i="52"/>
  <c r="AB82" i="52"/>
  <c r="AC82" i="52" l="1"/>
  <c r="J174" i="52"/>
  <c r="W312" i="18"/>
  <c r="AB81" i="52"/>
  <c r="AB80" i="52"/>
  <c r="AB100" i="52" l="1"/>
  <c r="AB99" i="52"/>
  <c r="AC80" i="52"/>
  <c r="AC81" i="52"/>
  <c r="J168" i="52"/>
  <c r="O168" i="52"/>
  <c r="W311" i="18"/>
  <c r="AL363" i="18" l="1"/>
  <c r="AL362" i="18" s="1"/>
  <c r="O167" i="52"/>
  <c r="W310" i="18"/>
  <c r="AL361" i="18" l="1"/>
  <c r="AM362" i="18"/>
  <c r="AM363" i="18"/>
  <c r="O166" i="52"/>
  <c r="W309" i="18"/>
  <c r="AM361" i="18" l="1"/>
  <c r="AL360" i="18"/>
  <c r="W308" i="18"/>
  <c r="O165" i="52"/>
  <c r="J165" i="52"/>
  <c r="P22" i="18"/>
  <c r="N22" i="18" s="1"/>
  <c r="AL359" i="18" l="1"/>
  <c r="AM360" i="18"/>
  <c r="C7" i="60"/>
  <c r="D3" i="60"/>
  <c r="D4" i="60"/>
  <c r="D5" i="60"/>
  <c r="D2" i="60"/>
  <c r="F2" i="60"/>
  <c r="AM359" i="18" l="1"/>
  <c r="AL358" i="18"/>
  <c r="O162" i="52"/>
  <c r="J162" i="52"/>
  <c r="W307"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6" i="18"/>
  <c r="AB78" i="52"/>
  <c r="AC78" i="52" s="1"/>
  <c r="AL354" i="18" l="1"/>
  <c r="AM355" i="18"/>
  <c r="W305" i="18"/>
  <c r="AL353" i="18" l="1"/>
  <c r="AM354" i="18"/>
  <c r="AL190" i="18"/>
  <c r="AF76" i="52"/>
  <c r="AB77" i="52"/>
  <c r="AC77" i="52" s="1"/>
  <c r="AB76" i="52"/>
  <c r="AC76" i="52" s="1"/>
  <c r="AM353" i="18" l="1"/>
  <c r="AL352" i="18"/>
  <c r="AL189" i="18"/>
  <c r="AM190" i="18"/>
  <c r="N159" i="52"/>
  <c r="P160" i="52" s="1"/>
  <c r="W302"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6" i="18"/>
  <c r="AL349" i="18" l="1"/>
  <c r="AM350" i="18"/>
  <c r="AM187" i="18"/>
  <c r="AL186" i="18"/>
  <c r="G123" i="18"/>
  <c r="J123" i="18" s="1"/>
  <c r="J151" i="52"/>
  <c r="AM349" i="18" l="1"/>
  <c r="AL348" i="18"/>
  <c r="AL185" i="18"/>
  <c r="AM186" i="18"/>
  <c r="W301" i="18"/>
  <c r="K112" i="18"/>
  <c r="W300" i="18"/>
  <c r="O150" i="52"/>
  <c r="AL347" i="18" l="1"/>
  <c r="AM348" i="18"/>
  <c r="AM185" i="18"/>
  <c r="AL184" i="18"/>
  <c r="AM347" i="18" l="1"/>
  <c r="AL346" i="18"/>
  <c r="AL183" i="18"/>
  <c r="AM184" i="18"/>
  <c r="AD59" i="52"/>
  <c r="Q146" i="52"/>
  <c r="J146" i="52"/>
  <c r="W29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8" i="18"/>
  <c r="AM344" i="18" l="1"/>
  <c r="AL343" i="18"/>
  <c r="AM181" i="18"/>
  <c r="AL180" i="18"/>
  <c r="G138" i="18"/>
  <c r="J138" i="18" s="1"/>
  <c r="J140" i="18" s="1"/>
  <c r="I140" i="18" s="1"/>
  <c r="G130" i="18"/>
  <c r="J130" i="18" s="1"/>
  <c r="W297" i="18"/>
  <c r="AL342" i="18" l="1"/>
  <c r="AM343" i="18"/>
  <c r="J134" i="18"/>
  <c r="I134" i="18" s="1"/>
  <c r="AM180" i="18"/>
  <c r="AL179" i="18"/>
  <c r="O142" i="52"/>
  <c r="J142" i="52"/>
  <c r="N46" i="18"/>
  <c r="W296" i="18"/>
  <c r="P26" i="18"/>
  <c r="AM342" i="18" l="1"/>
  <c r="AL341" i="18"/>
  <c r="AM179" i="18"/>
  <c r="AL178" i="18"/>
  <c r="AM178" i="18" s="1"/>
  <c r="P29" i="18"/>
  <c r="N29" i="18" s="1"/>
  <c r="O140" i="52"/>
  <c r="J140" i="52"/>
  <c r="W295" i="18"/>
  <c r="AM341" i="18" l="1"/>
  <c r="AL340" i="18"/>
  <c r="W294" i="18"/>
  <c r="W293" i="18"/>
  <c r="O139" i="52"/>
  <c r="J139" i="52"/>
  <c r="AB73" i="52"/>
  <c r="AL339" i="18" l="1"/>
  <c r="AM340" i="18"/>
  <c r="AD73" i="52"/>
  <c r="AC73" i="52"/>
  <c r="W292"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91" i="18"/>
  <c r="AL333" i="18" l="1"/>
  <c r="AM334" i="18"/>
  <c r="O132" i="52"/>
  <c r="W290" i="18"/>
  <c r="AL332" i="18" l="1"/>
  <c r="AM333" i="18"/>
  <c r="O131" i="52"/>
  <c r="J3" i="60"/>
  <c r="J4" i="60"/>
  <c r="J5" i="60"/>
  <c r="J2" i="60"/>
  <c r="I9" i="60"/>
  <c r="I7" i="60"/>
  <c r="AL331" i="18" l="1"/>
  <c r="AM332" i="18"/>
  <c r="O130" i="52"/>
  <c r="O129" i="52"/>
  <c r="W289" i="18"/>
  <c r="S255" i="18"/>
  <c r="W288" i="18"/>
  <c r="AL330" i="18" l="1"/>
  <c r="AM331" i="18"/>
  <c r="N129" i="52"/>
  <c r="AM330" i="18" l="1"/>
  <c r="AL329" i="18"/>
  <c r="O127" i="52"/>
  <c r="AM329" i="18" l="1"/>
  <c r="AL328" i="18"/>
  <c r="J126" i="52"/>
  <c r="O126" i="52"/>
  <c r="W287" i="18"/>
  <c r="AL327" i="18" l="1"/>
  <c r="AM328" i="18"/>
  <c r="O125" i="52"/>
  <c r="J125" i="52"/>
  <c r="AM327" i="18" l="1"/>
  <c r="AL326" i="18"/>
  <c r="W286"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5"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84" i="18"/>
  <c r="AM323" i="18" l="1"/>
  <c r="AL322" i="18"/>
  <c r="AM322" i="18" l="1"/>
  <c r="AL321" i="18"/>
  <c r="O121" i="52"/>
  <c r="J121" i="52"/>
  <c r="W283" i="18"/>
  <c r="AM321" i="18" l="1"/>
  <c r="AL320" i="18"/>
  <c r="W282" i="18"/>
  <c r="J120" i="52"/>
  <c r="M107" i="18"/>
  <c r="AL319" i="18" l="1"/>
  <c r="AM320" i="18"/>
  <c r="AM319" i="18" l="1"/>
  <c r="AL318" i="18"/>
  <c r="O117" i="52"/>
  <c r="AM318" i="18" l="1"/>
  <c r="AL317" i="18"/>
  <c r="O116" i="52"/>
  <c r="N116" i="52"/>
  <c r="AM317" i="18" l="1"/>
  <c r="AL316" i="18"/>
  <c r="W281"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80" i="18"/>
  <c r="J108" i="52"/>
  <c r="AL307" i="18" l="1"/>
  <c r="AM308" i="18"/>
  <c r="D303" i="15"/>
  <c r="F303" i="15" s="1"/>
  <c r="W279" i="18"/>
  <c r="W278" i="18"/>
  <c r="AM307" i="18" l="1"/>
  <c r="AL306" i="18"/>
  <c r="D302" i="15"/>
  <c r="F302" i="15" s="1"/>
  <c r="O106" i="52"/>
  <c r="J106" i="52"/>
  <c r="AM306" i="18" l="1"/>
  <c r="AL305" i="18"/>
  <c r="D301" i="15"/>
  <c r="F301" i="15" s="1"/>
  <c r="J104" i="52"/>
  <c r="G122" i="18"/>
  <c r="J122" i="18" s="1"/>
  <c r="J126" i="18" s="1"/>
  <c r="I126" i="18" s="1"/>
  <c r="E276" i="15"/>
  <c r="E277" i="15"/>
  <c r="E278" i="15"/>
  <c r="E279" i="15"/>
  <c r="E280" i="15"/>
  <c r="AM305" i="18" l="1"/>
  <c r="AL304" i="18"/>
  <c r="D300" i="15"/>
  <c r="F300" i="15" s="1"/>
  <c r="W277"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6"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3" i="18"/>
  <c r="J90" i="52"/>
  <c r="J95" i="52"/>
  <c r="W275"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8" i="18"/>
  <c r="O137" i="18"/>
  <c r="O136" i="18"/>
  <c r="AL293" i="18" l="1"/>
  <c r="AM294" i="18"/>
  <c r="D289" i="15"/>
  <c r="F289" i="15" s="1"/>
  <c r="P97" i="52"/>
  <c r="P98" i="52"/>
  <c r="P95" i="52"/>
  <c r="P96" i="52"/>
  <c r="P94" i="52"/>
  <c r="P93" i="52"/>
  <c r="O140" i="18"/>
  <c r="N91" i="52"/>
  <c r="P92" i="52" s="1"/>
  <c r="AM293" i="18" l="1"/>
  <c r="AL292" i="18"/>
  <c r="D288" i="15"/>
  <c r="F288" i="15" s="1"/>
  <c r="R301" i="18"/>
  <c r="T367" i="18" s="1"/>
  <c r="W274" i="18"/>
  <c r="W273" i="18"/>
  <c r="W272" i="18"/>
  <c r="M48" i="52"/>
  <c r="M47" i="52"/>
  <c r="N38" i="52"/>
  <c r="N37" i="52"/>
  <c r="M49" i="52"/>
  <c r="N50" i="52" s="1"/>
  <c r="AL291" i="18" l="1"/>
  <c r="AM292" i="18"/>
  <c r="D287" i="15"/>
  <c r="F287" i="15" s="1"/>
  <c r="N49" i="52"/>
  <c r="W271" i="18"/>
  <c r="AM291" i="18" l="1"/>
  <c r="AL290" i="18"/>
  <c r="D286" i="15"/>
  <c r="F286" i="15" s="1"/>
  <c r="AL289" i="18" l="1"/>
  <c r="AM290" i="18"/>
  <c r="D285" i="15"/>
  <c r="F285" i="15" s="1"/>
  <c r="W270" i="18"/>
  <c r="AM289" i="18" l="1"/>
  <c r="AL288" i="18"/>
  <c r="D284" i="15"/>
  <c r="F284" i="15" s="1"/>
  <c r="O90" i="52"/>
  <c r="O91" i="52"/>
  <c r="J91" i="52"/>
  <c r="AM288" i="18" l="1"/>
  <c r="AL287"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9" i="18"/>
  <c r="AL286" i="18" l="1"/>
  <c r="AM287" i="18"/>
  <c r="D282" i="15"/>
  <c r="F282" i="15" s="1"/>
  <c r="G32" i="57"/>
  <c r="H32" i="57"/>
  <c r="D32" i="57"/>
  <c r="I32" i="57" s="1"/>
  <c r="D345" i="20"/>
  <c r="W268" i="18"/>
  <c r="W267" i="18"/>
  <c r="AM286" i="18" l="1"/>
  <c r="AL285" i="18"/>
  <c r="D281" i="15"/>
  <c r="F281" i="15" s="1"/>
  <c r="W203" i="18"/>
  <c r="W202"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6" i="18"/>
  <c r="D343" i="20"/>
  <c r="AL282" i="18" l="1"/>
  <c r="AM283" i="18"/>
  <c r="D278" i="15"/>
  <c r="F278" i="15" s="1"/>
  <c r="W265" i="18"/>
  <c r="D342" i="20"/>
  <c r="J83" i="52"/>
  <c r="O83" i="52"/>
  <c r="W264" i="18"/>
  <c r="W263" i="18"/>
  <c r="F44" i="14"/>
  <c r="F45" i="14"/>
  <c r="F46" i="14"/>
  <c r="F47" i="14"/>
  <c r="F48" i="14"/>
  <c r="F49" i="14"/>
  <c r="F50" i="14"/>
  <c r="D341" i="20"/>
  <c r="AM282" i="18" l="1"/>
  <c r="AL281" i="18"/>
  <c r="D277" i="15"/>
  <c r="F277" i="15" s="1"/>
  <c r="AJ364" i="18"/>
  <c r="AM281" i="18" l="1"/>
  <c r="AL280" i="18"/>
  <c r="AM280" i="18" s="1"/>
  <c r="D276" i="15"/>
  <c r="F276" i="15" s="1"/>
  <c r="W262" i="18"/>
  <c r="D340" i="20" l="1"/>
  <c r="W261" i="18"/>
  <c r="H337" i="20"/>
  <c r="H338" i="20"/>
  <c r="H339" i="20"/>
  <c r="H340" i="20"/>
  <c r="H341" i="20"/>
  <c r="H368" i="20"/>
  <c r="H369" i="20"/>
  <c r="D339" i="20"/>
  <c r="B371" i="20" l="1"/>
  <c r="D332" i="20"/>
  <c r="D333" i="20"/>
  <c r="D334" i="20"/>
  <c r="D335" i="20"/>
  <c r="D336" i="20"/>
  <c r="D337" i="20"/>
  <c r="D338" i="20"/>
  <c r="D369" i="20"/>
  <c r="W260" i="18" l="1"/>
  <c r="D80" i="57"/>
  <c r="AD46" i="52" l="1"/>
  <c r="AE46" i="52"/>
  <c r="G46" i="10"/>
  <c r="D331" i="20" l="1"/>
  <c r="D330" i="20" l="1"/>
  <c r="W259" i="18" l="1"/>
  <c r="W258"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7" i="18" l="1"/>
  <c r="W256" i="18"/>
  <c r="Z40" i="52" l="1"/>
  <c r="Z39" i="52"/>
  <c r="Z38" i="52"/>
  <c r="AD38" i="52"/>
  <c r="AD39" i="52"/>
  <c r="AD40" i="52"/>
  <c r="AE40" i="52"/>
  <c r="AE39" i="52"/>
  <c r="AE38" i="52"/>
  <c r="R218"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5" i="18"/>
  <c r="W254" i="18"/>
  <c r="L38" i="18"/>
  <c r="N36" i="52"/>
  <c r="N35" i="52"/>
  <c r="Q42" i="52"/>
  <c r="AD37" i="52"/>
  <c r="AD36" i="52"/>
  <c r="AD35" i="52"/>
  <c r="AD34" i="52"/>
  <c r="AD33" i="52"/>
  <c r="Z37" i="52"/>
  <c r="Z36" i="52"/>
  <c r="Z35" i="52"/>
  <c r="Z34" i="52"/>
  <c r="Z33" i="52"/>
  <c r="AE37" i="52"/>
  <c r="AE36" i="52"/>
  <c r="AE35" i="52"/>
  <c r="AE34" i="52"/>
  <c r="AE33" i="52"/>
  <c r="W253" i="18" l="1"/>
  <c r="W252"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51" i="18" l="1"/>
  <c r="W250" i="18"/>
  <c r="AD31" i="52"/>
  <c r="AD30" i="52"/>
  <c r="Z31" i="52"/>
  <c r="Z30" i="52"/>
  <c r="AE31" i="52"/>
  <c r="AE30" i="52"/>
  <c r="AD29" i="52"/>
  <c r="Z29" i="52"/>
  <c r="AE29" i="52"/>
  <c r="AD28" i="52"/>
  <c r="Z28" i="52"/>
  <c r="AE28" i="52"/>
  <c r="N32" i="52"/>
  <c r="N31" i="52"/>
  <c r="W249" i="18" l="1"/>
  <c r="W248" i="18"/>
  <c r="N30" i="52"/>
  <c r="N29" i="52"/>
  <c r="AD27" i="52"/>
  <c r="Z27" i="52"/>
  <c r="AE27" i="52"/>
  <c r="W247" i="18" l="1"/>
  <c r="W246" i="18"/>
  <c r="N28" i="52"/>
  <c r="N27" i="52"/>
  <c r="AD26" i="52" l="1"/>
  <c r="AE26" i="52"/>
  <c r="AL279" i="18" l="1"/>
  <c r="D313" i="20"/>
  <c r="AL278" i="18" l="1"/>
  <c r="AM279" i="18"/>
  <c r="L113" i="18"/>
  <c r="L110" i="18" s="1"/>
  <c r="N110" i="18" s="1"/>
  <c r="L109" i="18" l="1"/>
  <c r="M113" i="18"/>
  <c r="AM278" i="18"/>
  <c r="AL277" i="18"/>
  <c r="L105" i="18"/>
  <c r="W245" i="18"/>
  <c r="W244" i="18"/>
  <c r="N24" i="52"/>
  <c r="N26" i="52"/>
  <c r="N25" i="52"/>
  <c r="AL276" i="18" l="1"/>
  <c r="AM277" i="18"/>
  <c r="L107"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43" i="18"/>
  <c r="W242" i="18"/>
  <c r="N23" i="52"/>
  <c r="N22" i="52"/>
  <c r="Z24" i="52"/>
  <c r="AD24" i="52"/>
  <c r="AE24" i="52"/>
  <c r="I368" i="20" l="1"/>
  <c r="G367" i="20"/>
  <c r="J368" i="20"/>
  <c r="K368" i="20"/>
  <c r="AL274" i="18"/>
  <c r="AM275" i="18"/>
  <c r="W241" i="18"/>
  <c r="W240"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9" i="18"/>
  <c r="W238"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8" i="18"/>
  <c r="F108" i="18" s="1"/>
  <c r="G105" i="18"/>
  <c r="F105" i="18" s="1"/>
  <c r="N26"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7" i="18"/>
  <c r="W236" i="18"/>
  <c r="AD17" i="52"/>
  <c r="Z17" i="52"/>
  <c r="AE17" i="52"/>
  <c r="AD16" i="52"/>
  <c r="Z16" i="52"/>
  <c r="AE16" i="52"/>
  <c r="N17" i="52"/>
  <c r="N16" i="52"/>
  <c r="AL170" i="18" l="1"/>
  <c r="AM171" i="18"/>
  <c r="I356" i="20"/>
  <c r="G355" i="20"/>
  <c r="J356" i="20"/>
  <c r="K356" i="20"/>
  <c r="L106" i="18"/>
  <c r="L108" i="18"/>
  <c r="AL169" i="18" l="1"/>
  <c r="AL168" i="18" s="1"/>
  <c r="AM170" i="18"/>
  <c r="J355" i="20"/>
  <c r="I355" i="20"/>
  <c r="G354" i="20"/>
  <c r="K355" i="20"/>
  <c r="W235" i="18"/>
  <c r="W234" i="18"/>
  <c r="D303" i="20"/>
  <c r="D302" i="20"/>
  <c r="W233" i="18"/>
  <c r="AL167" i="18" l="1"/>
  <c r="AM168" i="18"/>
  <c r="AM169" i="18"/>
  <c r="K354" i="20"/>
  <c r="J354" i="20"/>
  <c r="G353" i="20"/>
  <c r="I354" i="20"/>
  <c r="D301" i="20"/>
  <c r="D300" i="20"/>
  <c r="D299" i="20"/>
  <c r="AM167" i="18" l="1"/>
  <c r="AL166" i="18"/>
  <c r="I353" i="20"/>
  <c r="G352" i="20"/>
  <c r="J353" i="20"/>
  <c r="K353" i="20"/>
  <c r="Z15" i="52"/>
  <c r="AD15" i="52"/>
  <c r="AE15" i="52"/>
  <c r="P33"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31" i="18"/>
  <c r="AL163" i="18" l="1"/>
  <c r="AM164" i="18"/>
  <c r="I350" i="20"/>
  <c r="J350" i="20"/>
  <c r="K350" i="20"/>
  <c r="G349" i="20"/>
  <c r="AD14" i="52"/>
  <c r="AE14" i="52"/>
  <c r="AD13" i="52"/>
  <c r="AE13" i="52"/>
  <c r="Z14" i="52"/>
  <c r="D296" i="20"/>
  <c r="D295" i="20"/>
  <c r="AM163" i="18" l="1"/>
  <c r="AL162" i="18"/>
  <c r="K349" i="20"/>
  <c r="I349" i="20"/>
  <c r="J349" i="20"/>
  <c r="G348" i="20"/>
  <c r="W230" i="18"/>
  <c r="W229"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8" i="18"/>
  <c r="W227" i="18"/>
  <c r="AM161" i="18" l="1"/>
  <c r="AL160" i="18"/>
  <c r="G346" i="20"/>
  <c r="J347" i="20"/>
  <c r="I347" i="20"/>
  <c r="K347" i="20"/>
  <c r="D293" i="20"/>
  <c r="AL159" i="18" l="1"/>
  <c r="AM160" i="18"/>
  <c r="K346" i="20"/>
  <c r="G345" i="20"/>
  <c r="J346" i="20"/>
  <c r="I346" i="20"/>
  <c r="W226" i="18"/>
  <c r="AM159" i="18" l="1"/>
  <c r="AL158" i="18"/>
  <c r="K345" i="20"/>
  <c r="G344" i="20"/>
  <c r="J345" i="20"/>
  <c r="I345" i="20"/>
  <c r="D292" i="20"/>
  <c r="C8" i="36"/>
  <c r="W225"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7"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5"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200" i="18"/>
  <c r="W223" i="18"/>
  <c r="D278" i="20"/>
  <c r="D269" i="15" l="1"/>
  <c r="F270" i="15"/>
  <c r="AL140" i="18"/>
  <c r="AM141" i="18"/>
  <c r="J327" i="20"/>
  <c r="K327" i="20"/>
  <c r="G326" i="20"/>
  <c r="I327" i="20"/>
  <c r="W201"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4"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6"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0" i="18"/>
  <c r="N121" i="18"/>
  <c r="N122" i="18"/>
  <c r="N123" i="18"/>
  <c r="N124" i="18"/>
  <c r="N125" i="18"/>
  <c r="N126" i="18"/>
  <c r="N127" i="18"/>
  <c r="N119"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2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21" i="18"/>
  <c r="AM124" i="18" l="1"/>
  <c r="AL123" i="18"/>
  <c r="AM123" i="18" l="1"/>
  <c r="AL122" i="18"/>
  <c r="AL121" i="18" l="1"/>
  <c r="AM122" i="18"/>
  <c r="W215" i="18"/>
  <c r="W216" i="18"/>
  <c r="W217" i="18"/>
  <c r="W218" i="18"/>
  <c r="W219" i="18"/>
  <c r="W220" i="18"/>
  <c r="W232" i="18"/>
  <c r="W214" i="18"/>
  <c r="AM121" i="18" l="1"/>
  <c r="AL120" i="18"/>
  <c r="N52" i="18"/>
  <c r="AM120" i="18" l="1"/>
  <c r="AL119" i="18"/>
  <c r="AM119" i="18" l="1"/>
  <c r="AL118" i="18"/>
  <c r="T198" i="18"/>
  <c r="S84" i="18"/>
  <c r="S85" i="18" s="1"/>
  <c r="S86" i="18" s="1"/>
  <c r="R219" i="18"/>
  <c r="R217" i="18"/>
  <c r="D57" i="51"/>
  <c r="AL117" i="18" l="1"/>
  <c r="AM118" i="18"/>
  <c r="S87" i="18"/>
  <c r="S88" i="18" s="1"/>
  <c r="AM117" i="18" l="1"/>
  <c r="AL116" i="18"/>
  <c r="S89" i="18"/>
  <c r="S90" i="18" s="1"/>
  <c r="N33" i="18"/>
  <c r="Q117" i="18" l="1"/>
  <c r="R216"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AL113" i="18"/>
  <c r="AM114" i="18"/>
  <c r="S20" i="18"/>
  <c r="S21" i="18" s="1"/>
  <c r="S93" i="18" l="1"/>
  <c r="AL112" i="18"/>
  <c r="AM113" i="18"/>
  <c r="N47" i="18"/>
  <c r="M108" i="18" l="1"/>
  <c r="N108" i="18" s="1"/>
  <c r="S94" i="18"/>
  <c r="S95" i="18" s="1"/>
  <c r="AM112" i="18"/>
  <c r="AL111" i="18"/>
  <c r="D108" i="50"/>
  <c r="S96" i="18" l="1"/>
  <c r="AL110" i="18"/>
  <c r="AM111" i="18"/>
  <c r="S97" i="18" l="1"/>
  <c r="S98" i="18" s="1"/>
  <c r="AL109" i="18"/>
  <c r="AM110" i="18"/>
  <c r="S99" i="18" l="1"/>
  <c r="S100" i="18" s="1"/>
  <c r="S101" i="18" s="1"/>
  <c r="S102" i="18" s="1"/>
  <c r="S103" i="18" s="1"/>
  <c r="S104" i="18" s="1"/>
  <c r="S105" i="18" s="1"/>
  <c r="S106" i="18" s="1"/>
  <c r="S107" i="18" s="1"/>
  <c r="N107" i="18"/>
  <c r="AL108" i="18"/>
  <c r="AM109" i="18"/>
  <c r="N22" i="33"/>
  <c r="R22" i="33" s="1"/>
  <c r="S108" i="18" l="1"/>
  <c r="S109" i="18" s="1"/>
  <c r="S110" i="18" s="1"/>
  <c r="S111" i="18" s="1"/>
  <c r="E22" i="33"/>
  <c r="AL107" i="18"/>
  <c r="AM108" i="18"/>
  <c r="C22" i="33"/>
  <c r="J22" i="33"/>
  <c r="F22" i="33"/>
  <c r="B22" i="33"/>
  <c r="I22" i="33"/>
  <c r="L22" i="33"/>
  <c r="H22" i="33"/>
  <c r="D22" i="33"/>
  <c r="K22" i="33"/>
  <c r="G22" i="33"/>
  <c r="S112" i="18" l="1"/>
  <c r="S113" i="18" s="1"/>
  <c r="S114" i="18" s="1"/>
  <c r="S115" i="18" s="1"/>
  <c r="AM107" i="18"/>
  <c r="AL106" i="18"/>
  <c r="AL105" i="18" l="1"/>
  <c r="AM106" i="18"/>
  <c r="N109" i="18" l="1"/>
  <c r="AL104" i="18"/>
  <c r="AM105" i="18"/>
  <c r="AL257" i="18"/>
  <c r="AM258" i="18"/>
  <c r="AL103" i="18" l="1"/>
  <c r="AM104" i="18"/>
  <c r="AL256" i="18"/>
  <c r="AM257" i="18"/>
  <c r="AL102" i="18" l="1"/>
  <c r="AM103" i="18"/>
  <c r="AL255" i="18"/>
  <c r="AM256" i="18"/>
  <c r="S22" i="18"/>
  <c r="S23" i="18" s="1"/>
  <c r="N77"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6"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9" i="18" l="1"/>
  <c r="R215" i="18"/>
  <c r="S40" i="18"/>
  <c r="S41" i="18" s="1"/>
  <c r="AJ368" i="18"/>
  <c r="AJ369" i="18" s="1"/>
  <c r="AM94" i="18"/>
  <c r="AL93" i="18"/>
  <c r="AL246" i="18"/>
  <c r="AM247" i="18"/>
  <c r="S42" i="18" l="1"/>
  <c r="AL92" i="18"/>
  <c r="AM93" i="18"/>
  <c r="AL245" i="18"/>
  <c r="AM246" i="18"/>
  <c r="S127" i="18"/>
  <c r="S128"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S53" i="18" s="1"/>
  <c r="AM88" i="18"/>
  <c r="AL87" i="18"/>
  <c r="AL240" i="18"/>
  <c r="AM241" i="18"/>
  <c r="B10" i="36"/>
  <c r="AL86" i="18" l="1"/>
  <c r="AM87" i="18"/>
  <c r="AL239" i="18"/>
  <c r="AM240" i="18"/>
  <c r="S129" i="18"/>
  <c r="S130" i="18" s="1"/>
  <c r="S131" i="18" s="1"/>
  <c r="S54" i="18" l="1"/>
  <c r="S55" i="18" s="1"/>
  <c r="AL85" i="18"/>
  <c r="AM86" i="18"/>
  <c r="S132" i="18"/>
  <c r="S133" i="18" s="1"/>
  <c r="AL238" i="18"/>
  <c r="AM239" i="18"/>
  <c r="N25" i="33"/>
  <c r="N24" i="33"/>
  <c r="N21" i="33"/>
  <c r="N20" i="33"/>
  <c r="N19" i="33"/>
  <c r="N18" i="33"/>
  <c r="L18" i="33" s="1"/>
  <c r="N17" i="33"/>
  <c r="N9" i="33"/>
  <c r="N3" i="33"/>
  <c r="N4" i="33"/>
  <c r="S56" i="18" l="1"/>
  <c r="S57" i="18" s="1"/>
  <c r="S58" i="18" s="1"/>
  <c r="S59" i="18" s="1"/>
  <c r="S60" i="18" s="1"/>
  <c r="AL84" i="18"/>
  <c r="AM85" i="18"/>
  <c r="AM238" i="18"/>
  <c r="AL237" i="18"/>
  <c r="S134" i="18"/>
  <c r="S135" i="18" s="1"/>
  <c r="S13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37" i="18"/>
  <c r="AL236" i="18"/>
  <c r="AC15" i="33"/>
  <c r="S66" i="18" l="1"/>
  <c r="S67" i="18" s="1"/>
  <c r="AL82" i="18"/>
  <c r="AM83" i="18"/>
  <c r="AM236" i="18"/>
  <c r="AL235" i="18"/>
  <c r="N16" i="33"/>
  <c r="S68" i="18" l="1"/>
  <c r="S69" i="18" s="1"/>
  <c r="S70" i="18" s="1"/>
  <c r="S71" i="18" s="1"/>
  <c r="S72" i="18" s="1"/>
  <c r="S73" i="18" s="1"/>
  <c r="S74" i="18" s="1"/>
  <c r="S75" i="18" s="1"/>
  <c r="S76" i="18" s="1"/>
  <c r="AL81" i="18"/>
  <c r="AM82" i="18"/>
  <c r="AM235" i="18"/>
  <c r="AL234" i="18"/>
  <c r="AM234" i="18" s="1"/>
  <c r="L16" i="33"/>
  <c r="J16" i="33"/>
  <c r="F16" i="33"/>
  <c r="C16" i="33"/>
  <c r="K16" i="33"/>
  <c r="G16" i="33"/>
  <c r="H16" i="33"/>
  <c r="D16" i="33"/>
  <c r="I16" i="33"/>
  <c r="E16" i="33"/>
  <c r="B16" i="33"/>
  <c r="R16" i="33"/>
  <c r="AM364" i="18" l="1"/>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7" i="18" l="1"/>
  <c r="AL77" i="18"/>
  <c r="AM78" i="18"/>
  <c r="G307" i="20" l="1"/>
  <c r="K308" i="20"/>
  <c r="J308" i="20"/>
  <c r="I308" i="20"/>
  <c r="S138" i="18"/>
  <c r="AL76" i="18"/>
  <c r="AM77" i="18"/>
  <c r="S139" i="18" l="1"/>
  <c r="S140" i="18" s="1"/>
  <c r="G306" i="20"/>
  <c r="J307" i="20"/>
  <c r="I307" i="20"/>
  <c r="K307" i="20"/>
  <c r="AL75" i="18"/>
  <c r="AM76" i="18"/>
  <c r="N50" i="18"/>
  <c r="Q190" i="18" s="1"/>
  <c r="R214" i="18" l="1"/>
  <c r="S141" i="18"/>
  <c r="S142" i="18" s="1"/>
  <c r="S143" i="18" s="1"/>
  <c r="M105" i="18"/>
  <c r="N105" i="18" s="1"/>
  <c r="N113" i="18" s="1"/>
  <c r="AJ223" i="18"/>
  <c r="AJ224" i="18" s="1"/>
  <c r="G305" i="20"/>
  <c r="I306" i="20"/>
  <c r="K306" i="20"/>
  <c r="J306" i="20"/>
  <c r="AL74" i="18"/>
  <c r="AM75" i="18"/>
  <c r="R227" i="18" l="1"/>
  <c r="T354" i="18" s="1"/>
  <c r="V357" i="18" s="1"/>
  <c r="G304" i="20"/>
  <c r="I305" i="20"/>
  <c r="K305" i="20"/>
  <c r="J305" i="20"/>
  <c r="AL73" i="18"/>
  <c r="AM74" i="18"/>
  <c r="R121" i="18"/>
  <c r="V75" i="18" l="1"/>
  <c r="W75" i="18" s="1"/>
  <c r="V76" i="18"/>
  <c r="V73" i="18"/>
  <c r="V74" i="18"/>
  <c r="V114" i="18"/>
  <c r="W114" i="18" s="1"/>
  <c r="V71" i="18"/>
  <c r="W71" i="18" s="1"/>
  <c r="V72" i="18"/>
  <c r="V116" i="18"/>
  <c r="V115" i="18"/>
  <c r="V70" i="18"/>
  <c r="X70" i="18" s="1"/>
  <c r="V113" i="18"/>
  <c r="V69" i="18"/>
  <c r="W69" i="18" s="1"/>
  <c r="V189" i="18"/>
  <c r="V68" i="18"/>
  <c r="W68" i="18" s="1"/>
  <c r="V67" i="18"/>
  <c r="W67" i="18" s="1"/>
  <c r="V112" i="18"/>
  <c r="W112" i="18" s="1"/>
  <c r="U367" i="18"/>
  <c r="V367" i="18" s="1"/>
  <c r="V111" i="18"/>
  <c r="X111" i="18" s="1"/>
  <c r="V65" i="18"/>
  <c r="V66" i="18"/>
  <c r="V64" i="18"/>
  <c r="X64" i="18" s="1"/>
  <c r="V63" i="18"/>
  <c r="X63" i="18" s="1"/>
  <c r="V110" i="18"/>
  <c r="V109" i="18"/>
  <c r="X109" i="18" s="1"/>
  <c r="V62" i="18"/>
  <c r="X62" i="18" s="1"/>
  <c r="V108" i="18"/>
  <c r="V61" i="18"/>
  <c r="V78" i="18"/>
  <c r="V107" i="18"/>
  <c r="V59" i="18"/>
  <c r="W59" i="18" s="1"/>
  <c r="V60" i="18"/>
  <c r="V58" i="18"/>
  <c r="V57" i="18"/>
  <c r="V56" i="18"/>
  <c r="W56" i="18" s="1"/>
  <c r="V55" i="18"/>
  <c r="V106" i="18"/>
  <c r="W106" i="18" s="1"/>
  <c r="V104" i="18"/>
  <c r="W104" i="18" s="1"/>
  <c r="V105" i="18"/>
  <c r="V53" i="18"/>
  <c r="W53" i="18" s="1"/>
  <c r="V54" i="18"/>
  <c r="V52" i="18"/>
  <c r="V51" i="18"/>
  <c r="V50" i="18"/>
  <c r="V49" i="18"/>
  <c r="V48" i="18"/>
  <c r="W48" i="18" s="1"/>
  <c r="V47" i="18"/>
  <c r="W47" i="18" s="1"/>
  <c r="V103" i="18"/>
  <c r="V102" i="18"/>
  <c r="V101" i="18"/>
  <c r="X101" i="18" s="1"/>
  <c r="V46" i="18"/>
  <c r="V100" i="18"/>
  <c r="W100" i="18" s="1"/>
  <c r="V45" i="18"/>
  <c r="V99" i="18"/>
  <c r="V44" i="18"/>
  <c r="W44" i="18" s="1"/>
  <c r="V98" i="18"/>
  <c r="V97" i="18"/>
  <c r="W97" i="18" s="1"/>
  <c r="V43" i="18"/>
  <c r="V42" i="18"/>
  <c r="X42" i="18" s="1"/>
  <c r="V96" i="18"/>
  <c r="S203" i="18"/>
  <c r="V40" i="18"/>
  <c r="W40" i="18" s="1"/>
  <c r="V41" i="18"/>
  <c r="V95" i="18"/>
  <c r="W95" i="18" s="1"/>
  <c r="V39" i="18"/>
  <c r="V125" i="18"/>
  <c r="V94" i="18"/>
  <c r="V93" i="18"/>
  <c r="V92" i="18"/>
  <c r="W92" i="18" s="1"/>
  <c r="V38" i="18"/>
  <c r="V37" i="18"/>
  <c r="V36" i="18"/>
  <c r="S144" i="18"/>
  <c r="V35" i="18"/>
  <c r="V34" i="18"/>
  <c r="W34" i="18" s="1"/>
  <c r="V91" i="18"/>
  <c r="V90" i="18"/>
  <c r="V33" i="18"/>
  <c r="V32" i="18"/>
  <c r="V31" i="18"/>
  <c r="V29" i="18"/>
  <c r="W29" i="18" s="1"/>
  <c r="V30" i="18"/>
  <c r="V28" i="18"/>
  <c r="X28" i="18" s="1"/>
  <c r="G303" i="20"/>
  <c r="K304" i="20"/>
  <c r="I304" i="20"/>
  <c r="J304" i="20"/>
  <c r="V27" i="18"/>
  <c r="W27" i="18" s="1"/>
  <c r="V142" i="18"/>
  <c r="V141" i="18"/>
  <c r="V26" i="18"/>
  <c r="W26" i="18" s="1"/>
  <c r="V89" i="18"/>
  <c r="V139" i="18"/>
  <c r="W139" i="18" s="1"/>
  <c r="V140" i="18"/>
  <c r="V137" i="18"/>
  <c r="W137" i="18" s="1"/>
  <c r="V138" i="18"/>
  <c r="V136" i="18"/>
  <c r="W136" i="18" s="1"/>
  <c r="V25" i="18"/>
  <c r="V24" i="18"/>
  <c r="W24" i="18" s="1"/>
  <c r="V88" i="18"/>
  <c r="V23" i="18"/>
  <c r="X23" i="18" s="1"/>
  <c r="V87" i="18"/>
  <c r="V86" i="18"/>
  <c r="V135" i="18"/>
  <c r="V85" i="18"/>
  <c r="V134" i="18"/>
  <c r="V22" i="18"/>
  <c r="V133" i="18"/>
  <c r="V21" i="18"/>
  <c r="V132" i="18"/>
  <c r="V131" i="18"/>
  <c r="V130" i="18"/>
  <c r="V128" i="18"/>
  <c r="V129" i="18"/>
  <c r="V20" i="18"/>
  <c r="V126" i="18"/>
  <c r="V127" i="18"/>
  <c r="AL72" i="18"/>
  <c r="AM73" i="18"/>
  <c r="X75" i="18" l="1"/>
  <c r="W76" i="18"/>
  <c r="X76" i="18"/>
  <c r="W74" i="18"/>
  <c r="X74" i="18"/>
  <c r="W73" i="18"/>
  <c r="X73" i="18"/>
  <c r="W70" i="18"/>
  <c r="X114" i="18"/>
  <c r="X71" i="18"/>
  <c r="W72" i="18"/>
  <c r="X72" i="18"/>
  <c r="W115" i="18"/>
  <c r="X115" i="18"/>
  <c r="X116" i="18"/>
  <c r="W116" i="18"/>
  <c r="W113" i="18"/>
  <c r="X113" i="18"/>
  <c r="X69" i="18"/>
  <c r="X189" i="18"/>
  <c r="W189" i="18"/>
  <c r="X68" i="18"/>
  <c r="X67" i="18"/>
  <c r="X112" i="18"/>
  <c r="W111" i="18"/>
  <c r="W64" i="18"/>
  <c r="W66" i="18"/>
  <c r="X66" i="18"/>
  <c r="X65" i="18"/>
  <c r="W65" i="18"/>
  <c r="W63" i="18"/>
  <c r="W110" i="18"/>
  <c r="X110" i="18"/>
  <c r="W109" i="18"/>
  <c r="W62" i="18"/>
  <c r="W108" i="18"/>
  <c r="X108" i="18"/>
  <c r="W78" i="18"/>
  <c r="X78" i="18"/>
  <c r="W61" i="18"/>
  <c r="X61" i="18"/>
  <c r="W107" i="18"/>
  <c r="X107" i="18"/>
  <c r="X59" i="18"/>
  <c r="W60" i="18"/>
  <c r="X60" i="18"/>
  <c r="W57" i="18"/>
  <c r="X57" i="18"/>
  <c r="W58" i="18"/>
  <c r="X58" i="18"/>
  <c r="X56" i="18"/>
  <c r="W55" i="18"/>
  <c r="X55" i="18"/>
  <c r="X106" i="18"/>
  <c r="X104" i="18"/>
  <c r="W105" i="18"/>
  <c r="X105" i="18"/>
  <c r="X53" i="18"/>
  <c r="W54" i="18"/>
  <c r="X54" i="18"/>
  <c r="W51" i="18"/>
  <c r="X51" i="18"/>
  <c r="W52" i="18"/>
  <c r="X52" i="18"/>
  <c r="W50" i="18"/>
  <c r="X50" i="18"/>
  <c r="W49" i="18"/>
  <c r="X49" i="18"/>
  <c r="U203" i="18"/>
  <c r="V203" i="18" s="1"/>
  <c r="X48" i="18"/>
  <c r="X47" i="18"/>
  <c r="W103" i="18"/>
  <c r="X103" i="18"/>
  <c r="W102" i="18"/>
  <c r="X102" i="18"/>
  <c r="W101" i="18"/>
  <c r="X46" i="18"/>
  <c r="W46" i="18"/>
  <c r="X100" i="18"/>
  <c r="X45" i="18"/>
  <c r="W45" i="18"/>
  <c r="W99" i="18"/>
  <c r="X99" i="18"/>
  <c r="X44" i="18"/>
  <c r="X98" i="18"/>
  <c r="W98" i="18"/>
  <c r="X97" i="18"/>
  <c r="X43" i="18"/>
  <c r="W43" i="18"/>
  <c r="W42" i="18"/>
  <c r="W96" i="18"/>
  <c r="X96" i="18"/>
  <c r="X40" i="18"/>
  <c r="W41" i="18"/>
  <c r="X41" i="18"/>
  <c r="X95" i="18"/>
  <c r="W39" i="18"/>
  <c r="X39" i="18"/>
  <c r="W94" i="18"/>
  <c r="X94" i="18"/>
  <c r="W93" i="18"/>
  <c r="X93" i="18"/>
  <c r="X92" i="18"/>
  <c r="W38" i="18"/>
  <c r="X38" i="18"/>
  <c r="W37" i="18"/>
  <c r="X37" i="18"/>
  <c r="X36" i="18"/>
  <c r="W36" i="18"/>
  <c r="V143" i="18"/>
  <c r="X143" i="18" s="1"/>
  <c r="W35" i="18"/>
  <c r="X35" i="18"/>
  <c r="X34" i="18"/>
  <c r="W91" i="18"/>
  <c r="X91" i="18"/>
  <c r="W90" i="18"/>
  <c r="X90" i="18"/>
  <c r="X33" i="18"/>
  <c r="W33" i="18"/>
  <c r="X32" i="18"/>
  <c r="W32" i="18"/>
  <c r="W31" i="18"/>
  <c r="X31" i="18"/>
  <c r="X29" i="18"/>
  <c r="W30" i="18"/>
  <c r="X30" i="18"/>
  <c r="W28" i="18"/>
  <c r="S202" i="18"/>
  <c r="R211" i="18" s="1"/>
  <c r="G302" i="20"/>
  <c r="K303" i="20"/>
  <c r="I303" i="20"/>
  <c r="J303" i="20"/>
  <c r="X27" i="18"/>
  <c r="X142" i="18"/>
  <c r="W142" i="18"/>
  <c r="W141" i="18"/>
  <c r="X141" i="18"/>
  <c r="X26" i="18"/>
  <c r="W89" i="18"/>
  <c r="X89" i="18"/>
  <c r="X139" i="18"/>
  <c r="W140" i="18"/>
  <c r="X140" i="18"/>
  <c r="X137" i="18"/>
  <c r="W138" i="18"/>
  <c r="X138" i="18"/>
  <c r="X136" i="18"/>
  <c r="W25" i="18"/>
  <c r="X25" i="18"/>
  <c r="X24" i="18"/>
  <c r="W88" i="18"/>
  <c r="X88" i="18"/>
  <c r="W23" i="18"/>
  <c r="W87" i="18"/>
  <c r="X87" i="18"/>
  <c r="W86" i="18"/>
  <c r="X86" i="18"/>
  <c r="S201" i="18"/>
  <c r="S200" i="18"/>
  <c r="R210" i="18" s="1"/>
  <c r="W135" i="18"/>
  <c r="X135" i="18"/>
  <c r="X85" i="18"/>
  <c r="W85" i="18"/>
  <c r="W133" i="18"/>
  <c r="X133" i="18"/>
  <c r="W127" i="18"/>
  <c r="X127" i="18"/>
  <c r="W131" i="18"/>
  <c r="X131" i="18"/>
  <c r="W22" i="18"/>
  <c r="X22" i="18"/>
  <c r="W20" i="18"/>
  <c r="X20" i="18"/>
  <c r="W129" i="18"/>
  <c r="X129" i="18"/>
  <c r="X134" i="18"/>
  <c r="W134" i="18"/>
  <c r="W126" i="18"/>
  <c r="X126" i="18"/>
  <c r="W125" i="18"/>
  <c r="X125" i="18"/>
  <c r="W130" i="18"/>
  <c r="X130" i="18"/>
  <c r="W128" i="18"/>
  <c r="X128" i="18"/>
  <c r="W132" i="18"/>
  <c r="X132" i="18"/>
  <c r="W21" i="18"/>
  <c r="X21" i="18"/>
  <c r="AL71" i="18"/>
  <c r="AM72" i="18"/>
  <c r="U200" i="18" l="1"/>
  <c r="W143" i="18"/>
  <c r="U202" i="18"/>
  <c r="V202" i="18" s="1"/>
  <c r="N36" i="18"/>
  <c r="L21" i="18" s="1"/>
  <c r="U201" i="18"/>
  <c r="V201" i="18" s="1"/>
  <c r="N60"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4" i="18" l="1"/>
  <c r="S145" i="18"/>
  <c r="G298" i="20"/>
  <c r="K299" i="20"/>
  <c r="I299" i="20"/>
  <c r="J299" i="20"/>
  <c r="AL67" i="18"/>
  <c r="AM68" i="18"/>
  <c r="I2" i="33"/>
  <c r="E2" i="33"/>
  <c r="J2" i="33"/>
  <c r="F2" i="33"/>
  <c r="K2" i="33"/>
  <c r="G2" i="33"/>
  <c r="D2" i="33"/>
  <c r="C2" i="33"/>
  <c r="H2" i="33"/>
  <c r="D73" i="45"/>
  <c r="V145" i="18" l="1"/>
  <c r="S146" i="18"/>
  <c r="S147" i="18" s="1"/>
  <c r="S148" i="18" s="1"/>
  <c r="W144" i="18"/>
  <c r="X144" i="18"/>
  <c r="G297" i="20"/>
  <c r="K298" i="20"/>
  <c r="I298" i="20"/>
  <c r="J298" i="20"/>
  <c r="AL66" i="18"/>
  <c r="AM67" i="18"/>
  <c r="F33" i="14"/>
  <c r="F34" i="14"/>
  <c r="F35" i="14"/>
  <c r="F36" i="14"/>
  <c r="F37" i="14"/>
  <c r="F38" i="14"/>
  <c r="F39" i="14"/>
  <c r="F40" i="14"/>
  <c r="F41" i="14"/>
  <c r="F42" i="14"/>
  <c r="F43" i="14"/>
  <c r="E62" i="14"/>
  <c r="E61" i="14" s="1"/>
  <c r="B63" i="14"/>
  <c r="V146" i="18" l="1"/>
  <c r="X145" i="18"/>
  <c r="W145" i="18"/>
  <c r="G61" i="14"/>
  <c r="E60" i="14"/>
  <c r="I297" i="20"/>
  <c r="K297" i="20"/>
  <c r="J297" i="20"/>
  <c r="G296" i="20"/>
  <c r="AL65" i="18"/>
  <c r="AM66" i="18"/>
  <c r="W146" i="18" l="1"/>
  <c r="X146"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7" i="18"/>
  <c r="W147" i="18" s="1"/>
  <c r="J266" i="20"/>
  <c r="G265" i="20"/>
  <c r="K266" i="20"/>
  <c r="I266" i="20"/>
  <c r="AL34" i="18"/>
  <c r="AM35" i="18"/>
  <c r="E240" i="15"/>
  <c r="E239" i="15"/>
  <c r="X147" i="18" l="1"/>
  <c r="G29" i="14"/>
  <c r="E28" i="14"/>
  <c r="K265" i="20"/>
  <c r="G264" i="20"/>
  <c r="J265" i="20"/>
  <c r="I265" i="20"/>
  <c r="D259" i="15"/>
  <c r="F259" i="15" s="1"/>
  <c r="AL33" i="18"/>
  <c r="AM34" i="18"/>
  <c r="E27" i="14" l="1"/>
  <c r="G28" i="14"/>
  <c r="G263" i="20"/>
  <c r="K264" i="20"/>
  <c r="J264" i="20"/>
  <c r="I264" i="20"/>
  <c r="D258" i="15"/>
  <c r="F258" i="15" s="1"/>
  <c r="AL32" i="18"/>
  <c r="AM33" i="18"/>
  <c r="S149" i="18" l="1"/>
  <c r="S150" i="18" s="1"/>
  <c r="S151" i="18" s="1"/>
  <c r="S152" i="18" s="1"/>
  <c r="S153" i="18" s="1"/>
  <c r="E26" i="14"/>
  <c r="G27" i="14"/>
  <c r="I263" i="20"/>
  <c r="K263" i="20"/>
  <c r="G262" i="20"/>
  <c r="J263" i="20"/>
  <c r="D257" i="15"/>
  <c r="F257" i="15" s="1"/>
  <c r="AL31" i="18"/>
  <c r="AM32" i="18"/>
  <c r="K61" i="32"/>
  <c r="U61" i="32" s="1"/>
  <c r="K60" i="32"/>
  <c r="U60" i="32" s="1"/>
  <c r="K49" i="32"/>
  <c r="U49" i="32" s="1"/>
  <c r="K48" i="32"/>
  <c r="U48" i="32" s="1"/>
  <c r="K46" i="32"/>
  <c r="I60" i="32"/>
  <c r="I48" i="32"/>
  <c r="S70" i="32"/>
  <c r="V152" i="18" l="1"/>
  <c r="W152" i="18" s="1"/>
  <c r="V148" i="18"/>
  <c r="X148" i="18" s="1"/>
  <c r="E25" i="14"/>
  <c r="G26" i="14"/>
  <c r="G261" i="20"/>
  <c r="I262" i="20"/>
  <c r="J262" i="20"/>
  <c r="K262" i="20"/>
  <c r="D256" i="15"/>
  <c r="F256" i="15" s="1"/>
  <c r="AL30" i="18"/>
  <c r="AM31" i="18"/>
  <c r="L60" i="32"/>
  <c r="L48" i="32"/>
  <c r="X152" i="18" l="1"/>
  <c r="S154" i="18"/>
  <c r="W148" i="18"/>
  <c r="E24" i="14"/>
  <c r="G25" i="14"/>
  <c r="J261" i="20"/>
  <c r="I261" i="20"/>
  <c r="K261" i="20"/>
  <c r="G260" i="20"/>
  <c r="D255" i="15"/>
  <c r="F255" i="15" s="1"/>
  <c r="AL29" i="18"/>
  <c r="AM30" i="18"/>
  <c r="V153" i="18" l="1"/>
  <c r="X153"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3"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4" i="18" l="1"/>
  <c r="W154" i="18" s="1"/>
  <c r="S155" i="18"/>
  <c r="V149" i="18"/>
  <c r="W149"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5" i="18" l="1"/>
  <c r="W155" i="18" s="1"/>
  <c r="S156" i="18"/>
  <c r="X154" i="18"/>
  <c r="X149"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6" i="18" l="1"/>
  <c r="W156" i="18" s="1"/>
  <c r="S157" i="18"/>
  <c r="X155" i="18"/>
  <c r="G255" i="20"/>
  <c r="I256" i="20"/>
  <c r="J256" i="20"/>
  <c r="K256" i="20"/>
  <c r="D250" i="15"/>
  <c r="F250" i="15" s="1"/>
  <c r="AL24" i="18"/>
  <c r="AM25" i="18"/>
  <c r="E178" i="13"/>
  <c r="G179" i="13"/>
  <c r="X156" i="18" l="1"/>
  <c r="V157" i="18"/>
  <c r="W157" i="18" s="1"/>
  <c r="S158" i="18"/>
  <c r="S159" i="18" s="1"/>
  <c r="V150" i="18"/>
  <c r="X150" i="18" s="1"/>
  <c r="G254" i="20"/>
  <c r="J255" i="20"/>
  <c r="I255" i="20"/>
  <c r="K255" i="20"/>
  <c r="D249" i="15"/>
  <c r="F249" i="15" s="1"/>
  <c r="AM24" i="18"/>
  <c r="AL23" i="18"/>
  <c r="E177" i="13"/>
  <c r="G178" i="13"/>
  <c r="V158" i="18" l="1"/>
  <c r="X158" i="18" s="1"/>
  <c r="X157" i="18"/>
  <c r="W150" i="18"/>
  <c r="K254" i="20"/>
  <c r="I254" i="20"/>
  <c r="G253" i="20"/>
  <c r="J254" i="20"/>
  <c r="D248" i="15"/>
  <c r="AM23" i="18"/>
  <c r="AL22" i="18"/>
  <c r="E176" i="13"/>
  <c r="G177" i="13"/>
  <c r="D165" i="20"/>
  <c r="W158" i="18" l="1"/>
  <c r="G252" i="20"/>
  <c r="J253" i="20"/>
  <c r="K253" i="20"/>
  <c r="I253" i="20"/>
  <c r="D247" i="15"/>
  <c r="F248" i="15"/>
  <c r="AL21" i="18"/>
  <c r="AL20" i="18" s="1"/>
  <c r="AM22" i="18"/>
  <c r="E175" i="13"/>
  <c r="G176" i="13"/>
  <c r="D164" i="20"/>
  <c r="V159" i="18" l="1"/>
  <c r="W159" i="18" s="1"/>
  <c r="S160"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N383"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9" i="18"/>
  <c r="V160" i="18"/>
  <c r="W160" i="18" s="1"/>
  <c r="S161"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5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61" i="18" l="1"/>
  <c r="W161" i="18" s="1"/>
  <c r="S162" i="18"/>
  <c r="S163" i="18" s="1"/>
  <c r="S164" i="18" s="1"/>
  <c r="X160" i="18"/>
  <c r="X151" i="18"/>
  <c r="W151" i="18"/>
  <c r="U2123" i="41"/>
  <c r="V2123" i="41" s="1"/>
  <c r="X2123" i="41" s="1"/>
  <c r="G249" i="20"/>
  <c r="J250" i="20"/>
  <c r="K250" i="20"/>
  <c r="I250" i="20"/>
  <c r="F245" i="15"/>
  <c r="D244" i="15"/>
  <c r="AN217" i="18"/>
  <c r="AJ222" i="18" s="1"/>
  <c r="E172" i="13"/>
  <c r="G173" i="13"/>
  <c r="D62" i="38"/>
  <c r="V162" i="18" l="1"/>
  <c r="X162" i="18" s="1"/>
  <c r="X161" i="18"/>
  <c r="AJ226" i="18"/>
  <c r="J249" i="20"/>
  <c r="I249" i="20"/>
  <c r="K249" i="20"/>
  <c r="G248" i="20"/>
  <c r="F244" i="15"/>
  <c r="D243" i="15"/>
  <c r="AJ225" i="18"/>
  <c r="E171" i="13"/>
  <c r="G172" i="13"/>
  <c r="W162"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3" i="18" l="1"/>
  <c r="W163"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3"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5" i="18" l="1"/>
  <c r="G235" i="20"/>
  <c r="J236" i="20"/>
  <c r="I236" i="20"/>
  <c r="K236" i="20"/>
  <c r="F231" i="15"/>
  <c r="D230" i="15"/>
  <c r="E158" i="13"/>
  <c r="G159" i="13"/>
  <c r="D154" i="20"/>
  <c r="D153" i="20"/>
  <c r="V164" i="18" l="1"/>
  <c r="X164"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4" i="18" l="1"/>
  <c r="I234" i="20"/>
  <c r="K234" i="20"/>
  <c r="J234" i="20"/>
  <c r="G233" i="20"/>
  <c r="F229" i="15"/>
  <c r="D228" i="15"/>
  <c r="E156" i="13"/>
  <c r="G157" i="13"/>
  <c r="V165" i="18" l="1"/>
  <c r="X165" i="18" s="1"/>
  <c r="S166"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6" i="18" l="1"/>
  <c r="W166" i="18" s="1"/>
  <c r="S167" i="18"/>
  <c r="W165" i="18"/>
  <c r="G231" i="20"/>
  <c r="I232" i="20"/>
  <c r="J232" i="20"/>
  <c r="K232" i="20"/>
  <c r="F227" i="15"/>
  <c r="D226" i="15"/>
  <c r="E154" i="13"/>
  <c r="G155" i="13"/>
  <c r="I46" i="32"/>
  <c r="V167" i="18" l="1"/>
  <c r="W167" i="18" s="1"/>
  <c r="S168" i="18"/>
  <c r="S169" i="18" s="1"/>
  <c r="X166"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7" i="18" l="1"/>
  <c r="V168" i="18"/>
  <c r="W168"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70" i="18" l="1"/>
  <c r="S171" i="18" s="1"/>
  <c r="X168" i="18"/>
  <c r="G228" i="20"/>
  <c r="J229" i="20"/>
  <c r="K229" i="20"/>
  <c r="I229" i="20"/>
  <c r="E151" i="13"/>
  <c r="G152" i="13"/>
  <c r="K228" i="20" l="1"/>
  <c r="G227" i="20"/>
  <c r="I228" i="20"/>
  <c r="J228" i="20"/>
  <c r="E150" i="13"/>
  <c r="G151" i="13"/>
  <c r="V169" i="18" l="1"/>
  <c r="W169" i="18" s="1"/>
  <c r="J227" i="20"/>
  <c r="G226" i="20"/>
  <c r="I227" i="20"/>
  <c r="K227" i="20"/>
  <c r="E149" i="13"/>
  <c r="G150" i="13"/>
  <c r="Z32" i="32"/>
  <c r="M45" i="32"/>
  <c r="R45" i="32" s="1"/>
  <c r="X169"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72" i="18" l="1"/>
  <c r="V170" i="18"/>
  <c r="W170"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70"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71" i="18" l="1"/>
  <c r="I220" i="20"/>
  <c r="K220" i="20"/>
  <c r="G219" i="20"/>
  <c r="J220" i="20"/>
  <c r="E142" i="13"/>
  <c r="G143" i="13"/>
  <c r="S173" i="18" l="1"/>
  <c r="S174" i="18" s="1"/>
  <c r="W171" i="18"/>
  <c r="X171" i="18"/>
  <c r="I219" i="20"/>
  <c r="J219" i="20"/>
  <c r="G218" i="20"/>
  <c r="K219" i="20"/>
  <c r="E141" i="13"/>
  <c r="G142" i="13"/>
  <c r="V172" i="18" l="1"/>
  <c r="K218" i="20"/>
  <c r="G217" i="20"/>
  <c r="I218" i="20"/>
  <c r="J218" i="20"/>
  <c r="E140" i="13"/>
  <c r="G141" i="13"/>
  <c r="W172" i="18" l="1"/>
  <c r="X172" i="18"/>
  <c r="K217" i="20"/>
  <c r="J217" i="20"/>
  <c r="I217" i="20"/>
  <c r="G216" i="20"/>
  <c r="E139" i="13"/>
  <c r="G140" i="13"/>
  <c r="N34" i="33"/>
  <c r="V173" i="18" l="1"/>
  <c r="K216" i="20"/>
  <c r="I216" i="20"/>
  <c r="G215" i="20"/>
  <c r="J216" i="20"/>
  <c r="B34" i="33"/>
  <c r="J34" i="33"/>
  <c r="F34" i="33"/>
  <c r="K34" i="33"/>
  <c r="G34" i="33"/>
  <c r="H34" i="33"/>
  <c r="D34" i="33"/>
  <c r="C34" i="33"/>
  <c r="I34" i="33"/>
  <c r="E34" i="33"/>
  <c r="E138" i="13"/>
  <c r="G139" i="13"/>
  <c r="K43" i="32"/>
  <c r="U43" i="32" s="1"/>
  <c r="M43" i="32"/>
  <c r="V174" i="18" l="1"/>
  <c r="X174" i="18" s="1"/>
  <c r="S175" i="18"/>
  <c r="W173" i="18"/>
  <c r="X173" i="18"/>
  <c r="R43" i="32"/>
  <c r="S43" i="32"/>
  <c r="K215" i="20"/>
  <c r="I215" i="20"/>
  <c r="J215" i="20"/>
  <c r="G214" i="20"/>
  <c r="E137" i="13"/>
  <c r="G138" i="13"/>
  <c r="Q43" i="32"/>
  <c r="W174" i="18" l="1"/>
  <c r="V175" i="18"/>
  <c r="W175" i="18" s="1"/>
  <c r="S176" i="18"/>
  <c r="I214" i="20"/>
  <c r="J214" i="20"/>
  <c r="G213" i="20"/>
  <c r="K214" i="20"/>
  <c r="E136" i="13"/>
  <c r="G137" i="13"/>
  <c r="I42" i="32"/>
  <c r="K41" i="32"/>
  <c r="M41" i="32"/>
  <c r="S41" i="32" s="1"/>
  <c r="M29" i="32"/>
  <c r="K29" i="32"/>
  <c r="X175" i="18" l="1"/>
  <c r="S177" i="18"/>
  <c r="S178" i="18" s="1"/>
  <c r="S179" i="18" s="1"/>
  <c r="V176" i="18"/>
  <c r="R29" i="32"/>
  <c r="S29" i="32"/>
  <c r="K213" i="20"/>
  <c r="J213" i="20"/>
  <c r="I213" i="20"/>
  <c r="G212" i="20"/>
  <c r="E135" i="13"/>
  <c r="G136" i="13"/>
  <c r="Q29" i="32"/>
  <c r="W176" i="18" l="1"/>
  <c r="X176" i="18"/>
  <c r="V177" i="18"/>
  <c r="I212" i="20"/>
  <c r="K212" i="20"/>
  <c r="G211" i="20"/>
  <c r="J212" i="20"/>
  <c r="E134" i="13"/>
  <c r="G135" i="13"/>
  <c r="U29" i="32"/>
  <c r="U62" i="32"/>
  <c r="U63" i="32"/>
  <c r="U64" i="32"/>
  <c r="U65" i="32"/>
  <c r="U66" i="32"/>
  <c r="U67" i="32"/>
  <c r="U68" i="32"/>
  <c r="AC28" i="33"/>
  <c r="W177" i="18" l="1"/>
  <c r="X177"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8" i="18" l="1"/>
  <c r="W178"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8"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80"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81" i="18" l="1"/>
  <c r="V179" i="18"/>
  <c r="R70" i="32"/>
  <c r="AC15" i="32" s="1"/>
  <c r="AC16" i="32" s="1"/>
  <c r="J204" i="20"/>
  <c r="G203" i="20"/>
  <c r="K204" i="20"/>
  <c r="I204" i="20"/>
  <c r="E126" i="13"/>
  <c r="G127" i="13"/>
  <c r="K28" i="32"/>
  <c r="V180" i="18" l="1"/>
  <c r="X180" i="18" s="1"/>
  <c r="W179" i="18"/>
  <c r="X179"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80"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81" i="18" l="1"/>
  <c r="W181" i="18" s="1"/>
  <c r="S182"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81" i="18" l="1"/>
  <c r="V182" i="18"/>
  <c r="W182" i="18" s="1"/>
  <c r="S183"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82" i="18" l="1"/>
  <c r="V183" i="18"/>
  <c r="S184" i="18"/>
  <c r="S185" i="18" s="1"/>
  <c r="G196" i="13"/>
  <c r="G199" i="13" s="1"/>
  <c r="J199" i="20"/>
  <c r="G198" i="20"/>
  <c r="K199" i="20"/>
  <c r="I199" i="20"/>
  <c r="G102" i="13"/>
  <c r="G103" i="13"/>
  <c r="U14" i="32"/>
  <c r="L14" i="32" s="1"/>
  <c r="Q9" i="32"/>
  <c r="R9" i="32"/>
  <c r="Y5" i="33"/>
  <c r="V184" i="18" l="1"/>
  <c r="X184" i="18" s="1"/>
  <c r="W183" i="18"/>
  <c r="X183"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4" i="18" l="1"/>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V185" i="18" l="1"/>
  <c r="X185" i="18" s="1"/>
  <c r="S186" i="18"/>
  <c r="K196" i="20"/>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W185" i="18" l="1"/>
  <c r="S187" i="18"/>
  <c r="V187" i="18" s="1"/>
  <c r="V186" i="18"/>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W186" i="18" l="1"/>
  <c r="X186" i="18"/>
  <c r="W187" i="18"/>
  <c r="X187"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3"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4"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200"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<sst xmlns="http://schemas.openxmlformats.org/spreadsheetml/2006/main" count="12851" uniqueCount="5387">
  <si>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</si>
  <si>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</si>
  <si>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</si>
  <si>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</si>
  <si>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</si>
  <si>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</si>
  <si>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</si>
  <si>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</si>
  <si>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</si>
  <si>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</si>
  <si>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</si>
  <si>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</si>
  <si>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</si>
  <si>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</si>
  <si>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</si>
  <si>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</si>
  <si>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</si>
  <si>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</si>
  <si>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</si>
  <si>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</si>
  <si>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</si>
  <si>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</si>
  <si>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</si>
  <si>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</si>
  <si>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</si>
  <si>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</si>
  <si>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</si>
  <si>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</si>
  <si>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</si>
  <si>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</si>
  <si>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</si>
  <si>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</si>
  <si>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</si>
  <si>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</si>
  <si>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</si>
  <si>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</si>
  <si>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</si>
  <si>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</si>
  <si>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</si>
  <si>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</si>
  <si>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</si>
  <si>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</si>
  <si>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</si>
  <si>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</si>
  <si>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</si>
  <si>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</si>
  <si>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</si>
  <si>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</si>
  <si>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</si>
  <si>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</si>
  <si>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</si>
  <si>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</si>
  <si>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</si>
  <si>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</si>
  <si>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</si>
  <si>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</si>
  <si>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</si>
  <si>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</si>
  <si>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</si>
  <si>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</si>
  <si>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</si>
  <si>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</si>
  <si>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</si>
  <si>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</si>
  <si>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</si>
  <si>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</si>
  <si>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</si>
  <si>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</si>
  <si>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</si>
  <si>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</si>
  <si>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</si>
  <si>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</si>
  <si>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</si>
  <si>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</si>
  <si>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</si>
  <si>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</si>
  <si>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</si>
  <si>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</si>
  <si>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</si>
  <si>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</si>
  <si>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</si>
  <si>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</si>
  <si>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</si>
  <si>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</si>
  <si>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</si>
  <si>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</si>
  <si>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</si>
  <si>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</si>
  <si>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</si>
  <si>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</si>
  <si>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</si>
  <si>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</si>
  <si>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</si>
  <si>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</si>
  <si>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</si>
  <si>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</si>
  <si>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</si>
  <si>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</si>
  <si>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</si>
  <si>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</si>
  <si>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</si>
  <si>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</si>
  <si>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</si>
  <si>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</si>
  <si>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</si>
  <si>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</si>
  <si>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</si>
  <si>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</si>
  <si>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</si>
  <si>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</si>
  <si>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</si>
  <si>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</si>
  <si>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</si>
  <si>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</si>
  <si>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</si>
  <si>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</si>
  <si>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</si>
  <si>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</si>
  <si>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</si>
  <si>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</si>
  <si>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</si>
  <si>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</si>
  <si>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</si>
  <si>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</si>
  <si>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</si>
  <si>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</si>
  <si>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</si>
  <si>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</si>
  <si>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</si>
  <si>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</si>
  <si>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</si>
  <si>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</si>
  <si>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</si>
  <si>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</si>
  <si>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</si>
  <si>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</si>
  <si>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</si>
  <si>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</si>
  <si>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</si>
  <si>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</si>
  <si>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</si>
  <si>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</si>
  <si>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</si>
  <si>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</si>
  <si>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</si>
  <si>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</si>
  <si>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</si>
  <si>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</si>
  <si>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</si>
  <si>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</si>
  <si>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</si>
  <si>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</si>
  <si>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</si>
  <si>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</si>
  <si>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</si>
  <si>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</si>
  <si>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</si>
  <si>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</si>
  <si>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</si>
  <si>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</si>
  <si>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</si>
  <si>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</si>
  <si>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</si>
  <si>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</si>
  <si>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</si>
  <si>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</si>
  <si>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</si>
  <si>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</si>
  <si>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</si>
  <si>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</si>
  <si>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</si>
  <si>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</si>
  <si>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</si>
  <si>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</si>
  <si>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</si>
  <si>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</si>
  <si>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</si>
  <si>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</si>
  <si>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</si>
  <si>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</si>
  <si>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</si>
  <si>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</si>
  <si>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</si>
  <si>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</si>
  <si>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</si>
  <si>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</si>
  <si>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</si>
  <si>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</si>
  <si>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</si>
  <si>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</si>
  <si>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</si>
  <si>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</si>
  <si>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</si>
  <si>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</si>
  <si>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</si>
  <si>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</si>
  <si>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</si>
  <si>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</si>
  <si>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</si>
  <si>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</si>
  <si>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</si>
  <si>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</si>
  <si>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</si>
  <si>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</si>
  <si>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</si>
  <si>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</si>
  <si>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</si>
  <si>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</si>
  <si>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</si>
  <si>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</si>
  <si>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</si>
  <si>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</si>
  <si>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</si>
  <si>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</si>
  <si>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</si>
  <si>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</si>
  <si>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</si>
  <si>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</si>
  <si>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</si>
  <si>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</si>
  <si>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</si>
  <si>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</si>
  <si>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</si>
  <si>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</si>
  <si>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</si>
  <si>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</si>
  <si>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</si>
  <si>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</si>
  <si>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</si>
  <si>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</si>
  <si>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</si>
  <si>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</si>
  <si>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</si>
  <si>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</si>
  <si>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</si>
  <si>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</si>
  <si>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</si>
  <si>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</si>
  <si>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</si>
  <si>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</si>
  <si>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</si>
  <si>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</si>
  <si>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</si>
  <si>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</si>
  <si>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</si>
  <si>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</si>
  <si>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</si>
  <si>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</si>
  <si>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</si>
  <si>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</si>
  <si>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</si>
  <si>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</si>
  <si>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</si>
  <si>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</si>
  <si>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</si>
  <si>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</si>
  <si>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</si>
  <si>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</si>
  <si>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</si>
  <si>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</si>
  <si>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</si>
  <si>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</si>
  <si>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</si>
  <si>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</si>
  <si>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</si>
  <si>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</si>
  <si>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</si>
  <si>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</si>
  <si>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</si>
  <si>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</si>
  <si>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</si>
  <si>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</si>
  <si>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</si>
  <si>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</si>
  <si>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</si>
  <si>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</si>
  <si>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</si>
  <si>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</si>
  <si>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</si>
  <si>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</si>
  <si>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</si>
  <si>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</si>
  <si>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</si>
  <si>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</si>
  <si>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</si>
  <si>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</si>
  <si>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</si>
  <si>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</si>
  <si>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</si>
  <si>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</si>
  <si>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</si>
  <si>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</si>
  <si>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</si>
  <si>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</si>
  <si>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</si>
  <si>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</si>
  <si>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</si>
  <si>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</si>
  <si>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</si>
  <si>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</si>
  <si>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</si>
  <si>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</si>
  <si>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</si>
  <si>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</si>
  <si>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</si>
  <si>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</si>
  <si>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</si>
  <si>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</si>
  <si>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</si>
  <si>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</si>
  <si>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</si>
  <si>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</si>
  <si>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</si>
  <si>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</si>
  <si>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</si>
  <si>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</si>
  <si>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</si>
  <si>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</si>
  <si>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</si>
  <si>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</si>
  <si>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</si>
  <si>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</si>
  <si>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</si>
  <si>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</si>
  <si>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</si>
  <si>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</si>
  <si>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</si>
  <si>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</si>
  <si>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</si>
  <si>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</si>
  <si>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</si>
  <si>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</si>
  <si>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</si>
  <si>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</si>
  <si>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</si>
  <si>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</si>
  <si>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</si>
  <si>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</si>
  <si>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</si>
  <si>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</si>
  <si>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</si>
  <si>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</si>
  <si>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</si>
  <si>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</si>
  <si>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</si>
  <si>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</si>
  <si>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</si>
  <si>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</si>
  <si>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</si>
  <si>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</si>
  <si>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</si>
  <si>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</si>
  <si>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</si>
  <si>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</si>
  <si>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</si>
  <si>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</si>
  <si>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</si>
  <si>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</si>
  <si>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</si>
  <si>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</si>
  <si>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</si>
  <si>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</si>
  <si>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</si>
  <si>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</si>
  <si>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</si>
  <si>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</si>
  <si>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</si>
  <si>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</si>
  <si>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</si>
  <si>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</si>
  <si>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</si>
  <si>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</si>
  <si>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</si>
  <si>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</si>
  <si>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</si>
  <si>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</si>
  <si>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</si>
  <si>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</si>
  <si>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</si>
  <si>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</si>
  <si>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</si>
  <si>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</si>
  <si>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</si>
  <si>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</si>
  <si>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</si>
  <si>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</si>
  <si>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</si>
  <si>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</si>
  <si>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</si>
  <si>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</si>
  <si>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</si>
  <si>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</si>
  <si>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</si>
  <si>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</si>
  <si>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</si>
  <si>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</si>
  <si>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</si>
  <si>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</si>
  <si>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</si>
  <si>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</si>
  <si>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</si>
  <si>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</si>
  <si>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</si>
  <si>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</si>
  <si>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</si>
  <si>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</si>
  <si>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</si>
  <si>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</si>
  <si>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</si>
  <si>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</si>
  <si>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</si>
  <si>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</si>
  <si>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</si>
  <si>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</si>
  <si>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</si>
  <si>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</si>
  <si>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</si>
  <si>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</si>
  <si>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</si>
  <si>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</si>
  <si>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</si>
  <si>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</si>
  <si>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</si>
  <si>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</si>
  <si>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</si>
  <si>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</si>
  <si>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</si>
  <si>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</si>
  <si>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</si>
  <si>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</si>
  <si>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</si>
  <si>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</si>
  <si>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</si>
  <si>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</si>
  <si>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</si>
  <si>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</si>
  <si>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</si>
  <si>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</si>
  <si>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</si>
  <si>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</si>
  <si>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</si>
  <si>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</si>
  <si>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</si>
  <si>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</si>
  <si>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</si>
  <si>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</si>
  <si>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</si>
  <si>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</si>
  <si>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</si>
  <si>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</si>
  <si>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</si>
  <si>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</si>
  <si>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</si>
  <si>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</si>
  <si>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</si>
  <si>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</si>
  <si>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</si>
  <si>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</si>
  <si>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</si>
  <si>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</si>
  <si>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</si>
  <si>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</si>
  <si>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</si>
  <si>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</si>
  <si>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</si>
  <si>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</si>
  <si>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</si>
  <si>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</si>
  <si>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</si>
  <si>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</si>
  <si>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</si>
  <si>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</si>
  <si>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</si>
  <si>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</si>
  <si>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</si>
  <si>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</si>
  <si>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</si>
  <si>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</si>
  <si>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</si>
  <si>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</si>
  <si>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</si>
  <si>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</si>
  <si>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</si>
  <si>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</si>
  <si>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</si>
  <si>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</si>
  <si>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</si>
  <si>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</si>
  <si>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</si>
  <si>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</si>
  <si>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</si>
  <si>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</si>
  <si>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</si>
  <si>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</si>
  <si>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</si>
  <si>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</si>
  <si>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</si>
  <si>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</si>
  <si>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</si>
  <si>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</si>
  <si>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</si>
  <si>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</si>
  <si>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</si>
  <si>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</si>
  <si>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</si>
  <si>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</si>
  <si>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</si>
  <si>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</si>
  <si>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</si>
  <si>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</si>
  <si>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</si>
  <si>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</si>
  <si>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</si>
  <si>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</si>
  <si>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</si>
  <si>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</si>
  <si>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</si>
  <si>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</si>
  <si>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</si>
  <si>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</si>
  <si>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</si>
  <si>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</si>
  <si>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</si>
  <si>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</si>
  <si>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</si>
  <si>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</si>
  <si>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</si>
  <si>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</si>
  <si>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</si>
  <si>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</si>
  <si>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</si>
  <si>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</si>
  <si>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</si>
  <si>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</si>
  <si>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</si>
  <si>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</si>
  <si>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</si>
  <si>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</si>
  <si>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</si>
  <si>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</si>
  <si>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</si>
  <si>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</si>
  <si>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</si>
  <si>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</si>
  <si>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</si>
  <si>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</si>
  <si>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</si>
  <si>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</si>
  <si>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</si>
  <si>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</si>
  <si>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</si>
  <si>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</si>
  <si>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</si>
  <si>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</si>
  <si>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</si>
  <si>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</si>
  <si>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</si>
  <si>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</si>
  <si>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</si>
  <si>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</si>
  <si>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</si>
  <si>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</si>
  <si>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</si>
  <si>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</si>
  <si>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</si>
  <si>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</si>
  <si>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</si>
  <si>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</si>
  <si>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</si>
  <si>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</si>
  <si>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</si>
  <si>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</si>
  <si>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</si>
  <si>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</si>
  <si>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</si>
  <si>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</si>
  <si>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</si>
  <si>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</si>
  <si>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</si>
  <si>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</si>
  <si>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</si>
  <si>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</si>
  <si>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</si>
  <si>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</si>
  <si>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</si>
  <si>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</si>
  <si>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</si>
  <si>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</si>
  <si>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</si>
  <si>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</si>
  <si>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</si>
  <si>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</si>
  <si>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</si>
  <si>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</si>
  <si>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</si>
  <si>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</si>
  <si>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</si>
  <si>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</si>
  <si>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</si>
  <si>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</si>
  <si>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</si>
  <si>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</si>
  <si>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</si>
  <si>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</si>
  <si>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</si>
  <si>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</si>
  <si>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</si>
  <si>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</si>
  <si>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</si>
  <si>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</si>
  <si>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</si>
  <si>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</si>
  <si>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</si>
  <si>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</si>
  <si>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</si>
  <si>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</si>
  <si>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</si>
  <si>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</si>
  <si>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</si>
  <si>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</si>
  <si>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</si>
  <si>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</si>
  <si>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</si>
  <si>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</si>
  <si>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</si>
  <si>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</si>
  <si>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</si>
  <si>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</si>
  <si>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</si>
  <si>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</si>
  <si>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</si>
  <si>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</si>
  <si>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</si>
  <si>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</si>
  <si>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</si>
  <si>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</si>
  <si>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</si>
  <si>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</si>
  <si>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</si>
  <si>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</si>
  <si>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</si>
  <si>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</si>
  <si>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</si>
  <si>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</si>
  <si>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</si>
  <si>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</si>
  <si>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</si>
  <si>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</si>
  <si>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</si>
  <si>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</si>
  <si>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</si>
  <si>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</si>
  <si>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</si>
  <si>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</si>
  <si>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</si>
  <si>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</si>
  <si>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</si>
  <si>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</si>
  <si>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</si>
  <si>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</si>
  <si>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</si>
  <si>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</si>
  <si>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</si>
  <si>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</si>
  <si>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</si>
  <si>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</si>
  <si>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</si>
  <si>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</si>
  <si>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</si>
  <si>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</si>
  <si>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</si>
  <si>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</si>
  <si>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</si>
  <si>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</si>
  <si>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</si>
  <si>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</si>
  <si>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</si>
  <si>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</si>
  <si>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</si>
  <si>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</si>
  <si>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</si>
  <si>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</si>
  <si>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</si>
  <si>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</si>
  <si>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</si>
  <si>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</si>
  <si>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</si>
  <si>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</si>
  <si>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</si>
  <si>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</si>
  <si>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</si>
  <si>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</si>
  <si>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</si>
  <si>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</si>
  <si>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</si>
  <si>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</si>
  <si>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</si>
  <si>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</si>
  <si>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</si>
  <si>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</si>
  <si>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</si>
  <si>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</si>
  <si>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</si>
  <si>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</si>
  <si>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</si>
  <si>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</si>
  <si>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</si>
  <si>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</si>
  <si>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</si>
  <si>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</si>
  <si>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</si>
  <si>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</si>
  <si>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</si>
  <si>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</si>
  <si>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</si>
  <si>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</si>
  <si>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</si>
  <si>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</si>
  <si>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</si>
  <si>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</si>
  <si>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</si>
  <si>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</si>
  <si>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</si>
  <si>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</si>
  <si>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</si>
  <si>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</si>
  <si>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</si>
  <si>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</si>
  <si>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</si>
  <si>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</si>
  <si>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</si>
  <si>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</si>
  <si>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</si>
  <si>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</si>
  <si>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</si>
  <si>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</si>
  <si>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</si>
  <si>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</si>
  <si>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</si>
  <si>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</si>
  <si>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</si>
  <si>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</si>
  <si>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</si>
  <si>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</si>
  <si>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</si>
  <si>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</si>
  <si>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</si>
  <si>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</si>
  <si>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</si>
  <si>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</si>
  <si>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</si>
  <si>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</si>
  <si>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</si>
  <si>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</si>
  <si>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</si>
  <si>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</si>
  <si>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</si>
  <si>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</si>
  <si>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</si>
  <si>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</si>
  <si>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</si>
  <si>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</si>
  <si>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</si>
  <si>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</si>
  <si>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</si>
  <si>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</si>
  <si>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</si>
  <si>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</si>
  <si>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</si>
  <si>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</si>
  <si>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</si>
  <si>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</si>
  <si>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</si>
  <si>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</si>
  <si>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</si>
  <si>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</si>
  <si>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</si>
  <si>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</si>
  <si>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</si>
  <si>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</si>
  <si>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</si>
  <si>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</si>
  <si>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</si>
  <si>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</si>
  <si>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</si>
  <si>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</si>
  <si>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</si>
  <si>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</si>
  <si>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</si>
  <si>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</si>
  <si>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</si>
  <si>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</si>
  <si>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</si>
  <si>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</si>
  <si>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</si>
  <si>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</si>
  <si>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</si>
  <si>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</si>
  <si>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</si>
  <si>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</si>
  <si>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</si>
  <si>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</si>
  <si>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</si>
  <si>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</si>
  <si>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</si>
  <si>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</si>
  <si>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</si>
  <si>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</si>
  <si>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</si>
  <si>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</si>
  <si>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</si>
  <si>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</si>
  <si>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</si>
  <si>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</si>
  <si>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</si>
  <si>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</si>
  <si>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</si>
  <si>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</si>
  <si>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</si>
  <si>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</si>
  <si>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</si>
  <si>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</si>
  <si>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</si>
  <si>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</si>
  <si>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</si>
  <si>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</si>
  <si>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</si>
  <si>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</si>
  <si>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</si>
  <si>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</si>
  <si>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</si>
  <si>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</si>
  <si>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</si>
  <si>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</si>
  <si>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</si>
  <si>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</si>
  <si>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</si>
  <si>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</si>
  <si>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</si>
  <si>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</si>
  <si>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</si>
  <si>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</si>
  <si>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</si>
  <si>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</si>
  <si>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</si>
  <si>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</si>
  <si>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</si>
  <si>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</si>
  <si>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</si>
  <si>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</si>
  <si>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</si>
  <si>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</si>
  <si>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</si>
  <si>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</si>
  <si>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</si>
  <si>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</si>
  <si>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</si>
  <si>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</si>
  <si>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</si>
  <si>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</si>
  <si>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</si>
  <si>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</si>
  <si>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</si>
  <si>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</si>
  <si>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</si>
  <si>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</si>
  <si>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</si>
  <si>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</si>
  <si>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</si>
  <si>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</si>
  <si>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</si>
  <si>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</si>
  <si>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</si>
  <si>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</si>
  <si>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</si>
  <si>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</si>
  <si>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</si>
  <si>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</si>
  <si>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</si>
  <si>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</si>
  <si>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</si>
  <si>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</si>
  <si>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</si>
  <si>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</si>
  <si>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</si>
  <si>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</si>
  <si>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</si>
  <si>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</si>
  <si>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</si>
  <si>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</si>
  <si>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</si>
  <si>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</si>
  <si>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</si>
  <si>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</si>
  <si>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</si>
  <si>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</si>
  <si>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</si>
  <si>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</si>
  <si>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</si>
  <si>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</si>
  <si>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</si>
  <si>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</si>
  <si>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</si>
  <si>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</si>
  <si>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</si>
  <si>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</si>
  <si>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</si>
  <si>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</si>
  <si>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</si>
  <si>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</si>
  <si>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</si>
  <si>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</si>
  <si>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</si>
  <si>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</si>
  <si>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</si>
  <si>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</si>
  <si>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</si>
  <si>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</si>
  <si>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</si>
  <si>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</si>
  <si>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</si>
  <si>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</si>
  <si>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</si>
  <si>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</si>
  <si>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</si>
  <si>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</si>
  <si>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</si>
  <si>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</si>
  <si>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</si>
  <si>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</si>
  <si>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</si>
  <si>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</si>
  <si>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</si>
  <si>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</si>
  <si>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</si>
  <si>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</si>
  <si>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</si>
  <si>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</si>
  <si>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</si>
  <si>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</si>
  <si>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</si>
  <si>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</si>
  <si>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</si>
  <si>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</si>
  <si>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</si>
  <si>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</si>
  <si>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</si>
  <si>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</si>
  <si>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</si>
  <si>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</si>
  <si>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</si>
  <si>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</si>
  <si>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</si>
  <si>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</si>
  <si>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</si>
  <si>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</si>
  <si>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</si>
  <si>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</si>
  <si>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</si>
  <si>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</si>
  <si>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</si>
  <si>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</si>
  <si>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</si>
  <si>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</si>
  <si>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</si>
  <si>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</si>
  <si>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</si>
  <si>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</si>
  <si>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</si>
  <si>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</si>
  <si>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</si>
  <si>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</si>
  <si>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</si>
  <si>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</si>
  <si>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</si>
  <si>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</si>
  <si>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</si>
  <si>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</si>
  <si>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</si>
  <si>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</si>
  <si>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</si>
  <si>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</si>
  <si>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</si>
  <si>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</si>
  <si>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</si>
  <si>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</si>
  <si>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</si>
  <si>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</si>
  <si>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</si>
  <si>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</si>
  <si>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</si>
  <si>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</si>
  <si>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</si>
  <si>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</si>
  <si>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</si>
  <si>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</si>
  <si>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</si>
  <si>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</si>
  <si>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</si>
  <si>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</si>
  <si>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</si>
  <si>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</si>
  <si>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</si>
  <si>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</si>
  <si>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</si>
  <si>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</si>
  <si>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</si>
  <si>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</si>
  <si>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</si>
  <si>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</si>
  <si>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</si>
  <si>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</si>
  <si>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</si>
  <si>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</si>
  <si>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</si>
  <si>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</si>
  <si>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</si>
  <si>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</si>
  <si>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</si>
  <si>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</si>
  <si>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</si>
  <si>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</si>
  <si>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</si>
  <si>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</si>
  <si>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</si>
  <si>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</si>
  <si>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</si>
  <si>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</si>
  <si>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</si>
  <si>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</si>
  <si>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</si>
  <si>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</si>
  <si>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</si>
  <si>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</si>
  <si>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</si>
  <si>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</si>
  <si>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</si>
  <si>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</si>
  <si>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</si>
  <si>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</si>
  <si>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</si>
  <si>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</si>
  <si>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</si>
  <si>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</si>
  <si>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</si>
  <si>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</si>
  <si>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</si>
  <si>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</si>
  <si>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</si>
  <si>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</si>
  <si>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</si>
  <si>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</si>
  <si>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</si>
  <si>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</si>
  <si>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</si>
  <si>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</si>
  <si>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</si>
  <si>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</si>
  <si>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</si>
  <si>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</si>
  <si>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</si>
  <si>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</si>
  <si>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</si>
  <si>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</si>
  <si>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</si>
  <si>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</si>
  <si>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</si>
  <si>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</si>
  <si>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</si>
  <si>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</si>
  <si>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</si>
  <si>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</si>
  <si>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</si>
  <si>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</si>
  <si>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</si>
  <si>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</si>
  <si>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</si>
  <si>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</si>
  <si>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</si>
  <si>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</si>
  <si>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</si>
  <si>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</si>
  <si>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</si>
  <si>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</si>
  <si>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</si>
  <si>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</si>
  <si>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</si>
  <si>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</si>
  <si>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</si>
  <si>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</si>
  <si>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</si>
  <si>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</si>
  <si>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</si>
  <si>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</si>
  <si>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</si>
  <si>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</si>
  <si>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</si>
  <si>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</si>
  <si>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</si>
  <si>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</si>
  <si>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</si>
  <si>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</si>
  <si>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</si>
  <si>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</si>
  <si>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</si>
  <si>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</si>
  <si>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</si>
  <si>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</si>
  <si>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</si>
  <si>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</si>
  <si>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</si>
  <si>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</si>
  <si>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</si>
  <si>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</si>
  <si>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</si>
  <si>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</si>
  <si>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</si>
  <si>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</si>
  <si>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</si>
  <si>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</si>
  <si>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</si>
  <si>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</si>
  <si>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</si>
  <si>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</si>
  <si>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</si>
  <si>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</si>
  <si>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</si>
  <si>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</si>
  <si>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</si>
  <si>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</si>
  <si>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</si>
  <si>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</si>
  <si>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</si>
  <si>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</si>
  <si>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</si>
  <si>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</si>
  <si>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</si>
  <si>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</si>
  <si>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</si>
  <si>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</si>
  <si>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</si>
  <si>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</si>
  <si>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</si>
  <si>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</si>
  <si>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</si>
  <si>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</si>
  <si>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</si>
  <si>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</si>
  <si>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</si>
  <si>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</si>
  <si>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</si>
  <si>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</si>
  <si>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</si>
  <si>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</si>
  <si>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</si>
  <si>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</si>
  <si>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</si>
  <si>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</si>
  <si>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</si>
  <si>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</si>
  <si>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</si>
  <si>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</si>
  <si>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</si>
  <si>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</si>
  <si>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</si>
  <si>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</si>
  <si>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</si>
  <si>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</si>
  <si>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</si>
  <si>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</si>
  <si>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</si>
  <si>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</si>
  <si>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</si>
  <si>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</si>
  <si>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</si>
  <si>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</si>
  <si>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</si>
  <si>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</si>
  <si>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</si>
  <si>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</si>
  <si>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</si>
  <si>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</si>
  <si>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</si>
  <si>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</si>
  <si>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</si>
  <si>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</si>
  <si>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</si>
  <si>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</si>
  <si>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</si>
  <si>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</si>
  <si>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</si>
  <si>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</si>
  <si>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</si>
  <si>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</si>
  <si>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</si>
  <si>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</si>
  <si>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</si>
  <si>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</si>
  <si>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</si>
  <si>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</si>
  <si>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</si>
  <si>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</si>
  <si>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</si>
  <si>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</si>
  <si>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</si>
  <si>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</si>
  <si>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</si>
  <si>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</si>
  <si>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</si>
  <si>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</si>
  <si>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</si>
  <si>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</si>
  <si>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</si>
  <si>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</si>
  <si>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</si>
  <si>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</si>
  <si>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</si>
  <si>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</si>
  <si>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</si>
  <si>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</si>
  <si>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</si>
  <si>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</si>
  <si>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</si>
  <si>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</si>
  <si>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</si>
  <si>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</si>
  <si>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</si>
  <si>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</si>
  <si>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</si>
  <si>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</si>
  <si>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</si>
  <si>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</si>
  <si>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</si>
  <si>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</si>
  <si>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</si>
  <si>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</si>
  <si>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</si>
  <si>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</si>
  <si>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</si>
  <si>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</si>
  <si>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</si>
  <si>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</si>
  <si>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</si>
  <si>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</si>
  <si>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</si>
  <si>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</si>
  <si>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</si>
  <si>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</si>
  <si>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</si>
  <si>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</si>
  <si>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</si>
  <si>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</si>
  <si>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</si>
  <si>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</si>
  <si>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</si>
  <si>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</si>
  <si>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</si>
  <si>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</si>
  <si>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</si>
  <si>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</si>
  <si>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</si>
  <si>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</si>
  <si>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</si>
  <si>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</si>
  <si>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</si>
  <si>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</si>
  <si>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</si>
  <si>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</si>
  <si>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</si>
  <si>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</si>
  <si>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</si>
  <si>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</si>
  <si>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</si>
  <si>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</si>
  <si>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</si>
  <si>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</si>
  <si>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</si>
  <si>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</si>
  <si>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</si>
  <si>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</si>
  <si>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</si>
  <si>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</si>
  <si>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</si>
  <si>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</si>
  <si>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</si>
  <si>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</si>
  <si>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</si>
  <si>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</si>
  <si>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</si>
  <si>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</si>
  <si>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</si>
  <si>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</si>
  <si>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</si>
  <si>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</si>
  <si>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</si>
  <si>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</si>
  <si>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</si>
  <si>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</si>
  <si>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</si>
  <si>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</si>
  <si>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</si>
  <si>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</si>
  <si>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</si>
  <si>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</si>
  <si>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</si>
  <si>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</si>
  <si>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</si>
  <si>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</si>
  <si>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</si>
  <si>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</si>
  <si>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</si>
  <si>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</si>
  <si>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</si>
  <si>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</si>
  <si>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</si>
  <si>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</si>
  <si>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</si>
  <si>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</si>
  <si>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</si>
  <si>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</si>
  <si>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</si>
  <si>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</si>
  <si>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</si>
  <si>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</si>
  <si>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</si>
  <si>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</si>
  <si>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</si>
  <si>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</si>
  <si>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</si>
  <si>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</si>
  <si>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</si>
  <si>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</si>
  <si>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</si>
  <si>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</si>
  <si>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</si>
  <si>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</si>
  <si>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</si>
  <si>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</si>
  <si>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</si>
  <si>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</si>
  <si>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</si>
  <si>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</si>
  <si>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</si>
  <si>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</si>
  <si>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</si>
  <si>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</si>
  <si>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</si>
  <si>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</si>
  <si>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</si>
  <si>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</si>
  <si>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</si>
  <si>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</si>
  <si>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</si>
  <si>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</si>
  <si>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</si>
  <si>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</si>
  <si>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</si>
  <si>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</si>
  <si>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</si>
  <si>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</si>
  <si>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</si>
  <si>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</si>
  <si>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</si>
  <si>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</si>
  <si>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</si>
  <si>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</si>
  <si>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</si>
  <si>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</si>
  <si>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</si>
  <si>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</si>
  <si>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</si>
  <si>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</si>
  <si>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</si>
  <si>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</si>
  <si>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</si>
  <si>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</si>
  <si>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</si>
  <si>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</si>
  <si>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</si>
  <si>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</si>
  <si>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</si>
  <si>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</si>
  <si>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</si>
  <si>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</si>
  <si>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</si>
  <si>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</si>
  <si>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</si>
  <si>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</si>
  <si>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</si>
  <si>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</si>
  <si>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</si>
  <si>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</si>
  <si>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</si>
  <si>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</si>
  <si>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</si>
  <si>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</si>
  <si>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</si>
  <si>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</si>
  <si>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</si>
  <si>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</si>
  <si>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</si>
  <si>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</si>
  <si>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</si>
  <si>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</si>
  <si>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</si>
  <si>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</si>
  <si>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</si>
  <si>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</si>
  <si>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</si>
  <si>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</si>
  <si>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</si>
  <si>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</si>
  <si>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</si>
  <si>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</si>
  <si>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</si>
  <si>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</si>
  <si>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</si>
  <si>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</si>
  <si>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</si>
  <si>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</si>
  <si>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</si>
  <si>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</si>
  <si>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</si>
  <si>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</si>
  <si>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</si>
  <si>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</si>
  <si>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</si>
  <si>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</si>
  <si>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</si>
  <si>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</si>
  <si>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</si>
  <si>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</si>
  <si>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</si>
  <si>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</si>
  <si>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</si>
  <si>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</si>
  <si>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</si>
  <si>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</si>
  <si>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</si>
  <si>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</si>
  <si>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</si>
  <si>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</si>
  <si>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</si>
  <si>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</si>
  <si>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</si>
  <si>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</si>
  <si>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</si>
  <si>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</si>
  <si>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</si>
  <si>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</si>
  <si>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</si>
  <si>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</si>
  <si>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</si>
  <si>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</si>
  <si>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</si>
  <si>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</si>
  <si>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</si>
  <si>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</si>
  <si>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</si>
  <si>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</si>
  <si>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</si>
  <si>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</si>
  <si>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</si>
  <si>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</si>
  <si>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</si>
  <si>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</si>
  <si>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</si>
  <si>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</si>
  <si>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</si>
  <si>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</si>
  <si>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</si>
  <si>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</si>
  <si>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</si>
  <si>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</si>
  <si>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</si>
  <si>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</si>
  <si>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</si>
  <si>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</si>
  <si>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</si>
  <si>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</si>
  <si>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</si>
  <si>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</si>
  <si>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</si>
  <si>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</si>
  <si>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</si>
  <si>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</si>
  <si>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</si>
  <si>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</si>
  <si>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</si>
  <si>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</si>
  <si>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</si>
  <si>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</si>
  <si>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</si>
  <si>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</si>
  <si>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</si>
  <si>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</si>
  <si>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</si>
  <si>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</si>
  <si>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</si>
  <si>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</si>
  <si>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</si>
  <si>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</si>
  <si>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</si>
  <si>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</si>
  <si>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</si>
  <si>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</si>
  <si>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</si>
  <si>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</si>
  <si>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</si>
  <si>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</si>
  <si>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</si>
  <si>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</si>
  <si>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</si>
  <si>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</si>
  <si>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</si>
  <si>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</si>
  <si>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</si>
  <si>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</si>
  <si>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</si>
  <si>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</si>
  <si>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</si>
  <si>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</si>
  <si>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</si>
  <si>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</si>
  <si>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</si>
  <si>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</si>
  <si>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</si>
  <si>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</si>
  <si>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</si>
  <si>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</si>
  <si>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</si>
  <si>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</si>
  <si>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</si>
  <si>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</si>
  <si>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</si>
  <si>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</si>
  <si>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</si>
  <si>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</si>
  <si>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</si>
  <si>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</si>
  <si>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</si>
  <si>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</si>
  <si>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</si>
  <si>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</si>
  <si>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</si>
  <si>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</si>
  <si>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</si>
  <si>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</si>
  <si>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</si>
  <si>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</si>
  <si>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</si>
  <si>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</si>
  <si>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</si>
  <si>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</si>
  <si>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</si>
  <si>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</si>
  <si>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</si>
  <si>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</si>
  <si>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</si>
  <si>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</si>
  <si>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</si>
  <si>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</si>
  <si>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</si>
  <si>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</si>
  <si>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</si>
  <si>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</si>
  <si>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</si>
  <si>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</si>
  <si>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</si>
  <si>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</si>
  <si>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</si>
  <si>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</si>
  <si>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</si>
  <si>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</si>
  <si>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</si>
  <si>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</si>
  <si>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</si>
  <si>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</si>
  <si>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</si>
  <si>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</si>
  <si>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</si>
  <si>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</si>
  <si>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</si>
  <si>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</si>
  <si>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</si>
  <si>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</si>
  <si>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</si>
  <si>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</si>
  <si>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</si>
  <si>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</si>
  <si>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</si>
  <si>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</si>
  <si>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</si>
  <si>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</si>
  <si>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</si>
  <si>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</si>
  <si>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</si>
  <si>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</si>
  <si>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</si>
  <si>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</si>
  <si>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</si>
  <si>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</si>
  <si>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</si>
  <si>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</si>
  <si>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</si>
  <si>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</si>
  <si>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</si>
  <si>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</si>
  <si>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</si>
  <si>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</si>
  <si>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</si>
  <si>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</si>
  <si>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</si>
  <si>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</si>
  <si>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</si>
  <si>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</si>
  <si>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</si>
  <si>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</si>
  <si>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</si>
  <si>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</si>
  <si>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</si>
  <si>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</si>
  <si>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</si>
  <si>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</si>
  <si>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</si>
  <si>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</si>
  <si>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</si>
  <si>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</si>
  <si>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</si>
  <si>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</si>
  <si>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</si>
  <si>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</si>
  <si>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</si>
  <si>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</si>
  <si>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</si>
  <si>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</si>
  <si>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</si>
  <si>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</si>
  <si>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</si>
  <si>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</si>
  <si>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</si>
  <si>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</si>
  <si>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</si>
  <si>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</si>
  <si>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</si>
  <si>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</si>
  <si>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</si>
  <si>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</si>
  <si>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</si>
  <si>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</si>
  <si>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</si>
  <si>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</si>
  <si>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</si>
  <si>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</si>
  <si>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</si>
  <si>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</si>
  <si>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</si>
  <si>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</si>
  <si>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</si>
  <si>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</si>
  <si>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</si>
  <si>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</si>
  <si>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</si>
  <si>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</si>
  <si>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</si>
  <si>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</si>
  <si>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</si>
  <si>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</si>
  <si>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</si>
  <si>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</si>
  <si>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</si>
  <si>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</si>
  <si>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</si>
  <si>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</si>
  <si>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</si>
  <si>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</si>
  <si>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</si>
  <si>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</si>
  <si>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</si>
  <si>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</si>
  <si>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</si>
  <si>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</si>
  <si>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</si>
  <si>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</si>
  <si>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</si>
  <si>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</si>
  <si>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</si>
  <si>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</si>
  <si>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</si>
  <si>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</si>
  <si>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</si>
  <si>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</si>
  <si>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</si>
  <si>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</si>
  <si>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</si>
  <si>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</si>
  <si>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</si>
  <si>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</si>
  <si>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</si>
  <si>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</si>
  <si>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</si>
  <si>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</si>
  <si>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</si>
  <si>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</si>
  <si>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</si>
  <si>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</si>
  <si>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</si>
  <si>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</si>
  <si>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</si>
  <si>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</si>
  <si>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</si>
  <si>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</si>
  <si>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</si>
  <si>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</si>
  <si>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</si>
  <si>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</si>
  <si>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</si>
  <si>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</si>
  <si>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</si>
  <si>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</si>
  <si>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</si>
  <si>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</si>
  <si>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</si>
  <si>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</si>
  <si>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</si>
  <si>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</si>
  <si>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</si>
  <si>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</si>
  <si>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</si>
  <si>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</si>
  <si>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</si>
  <si>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</si>
  <si>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</si>
  <si>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</si>
  <si>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</si>
  <si>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</si>
  <si>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</si>
  <si>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</si>
  <si>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</si>
  <si>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</si>
  <si>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</si>
  <si>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</si>
  <si>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</si>
  <si>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</si>
  <si>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</si>
  <si>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</si>
  <si>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</si>
  <si>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</si>
  <si>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</si>
  <si>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</si>
  <si>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</si>
  <si>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</si>
  <si>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</si>
  <si>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</si>
  <si>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</si>
  <si>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</si>
  <si>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</si>
  <si>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</si>
  <si>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</si>
  <si>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</si>
  <si>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</si>
  <si>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</si>
  <si>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</si>
  <si>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</si>
  <si>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</si>
  <si>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</si>
  <si>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</si>
  <si>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</si>
  <si>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</si>
  <si>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</si>
  <si>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</si>
  <si>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</si>
  <si>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</si>
  <si>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</si>
  <si>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</si>
  <si>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</si>
  <si>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</si>
  <si>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</si>
  <si>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</si>
  <si>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</si>
  <si>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</si>
  <si>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</si>
  <si>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</si>
  <si>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</si>
  <si>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</si>
  <si>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</si>
  <si>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</si>
  <si>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</si>
  <si>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</si>
  <si>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</si>
  <si>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</si>
  <si>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</si>
  <si>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</si>
  <si>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</si>
  <si>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</si>
  <si>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</si>
  <si>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</si>
  <si>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</si>
  <si>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</si>
  <si>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</si>
  <si>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</si>
  <si>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</si>
  <si>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</si>
  <si>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</si>
  <si>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</si>
  <si>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</si>
  <si>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</si>
  <si>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</si>
  <si>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</si>
  <si>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</si>
  <si>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</si>
  <si>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</si>
  <si>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</si>
  <si>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</si>
  <si>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</si>
  <si>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</si>
  <si>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</si>
  <si>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</si>
  <si>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</si>
  <si>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</si>
  <si>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</si>
  <si>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</si>
  <si>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</si>
  <si>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</si>
  <si>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</si>
  <si>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</si>
  <si>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</si>
  <si>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</si>
  <si>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</si>
  <si>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</si>
  <si>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</si>
  <si>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</si>
  <si>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</si>
  <si>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</si>
  <si>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</si>
  <si>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</si>
  <si>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</si>
  <si>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</si>
  <si>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</si>
  <si>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</si>
  <si>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</si>
  <si>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</si>
  <si>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</si>
  <si>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</si>
  <si>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</si>
  <si>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</si>
  <si>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</si>
  <si>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</si>
  <si>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</si>
  <si>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</si>
  <si>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</si>
  <si>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</si>
  <si>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</si>
  <si>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</si>
  <si>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</si>
  <si>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</si>
  <si>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</si>
  <si>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</si>
  <si>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</si>
  <si>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</si>
  <si>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</si>
  <si>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</si>
  <si>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</si>
  <si>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</si>
  <si>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</si>
  <si>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</si>
  <si>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</si>
  <si>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</si>
  <si>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</si>
  <si>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</si>
  <si>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</si>
  <si>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</si>
  <si>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</si>
  <si>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</si>
  <si>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</si>
  <si>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</si>
  <si>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</si>
  <si>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</si>
  <si>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</si>
  <si>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</si>
  <si>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</si>
  <si>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</si>
  <si>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</si>
  <si>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</si>
  <si>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</si>
  <si>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</si>
  <si>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</si>
  <si>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</si>
  <si>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</si>
  <si>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</si>
  <si>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</si>
  <si>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</si>
  <si>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</si>
  <si>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</si>
  <si>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</si>
  <si>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</si>
  <si>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</si>
  <si>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</si>
  <si>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</si>
  <si>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</si>
  <si>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</si>
  <si>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</si>
  <si>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</si>
  <si>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</si>
  <si>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</si>
  <si>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</si>
  <si>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</si>
  <si>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</si>
  <si>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</si>
  <si>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</si>
  <si>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</si>
  <si>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</si>
  <si>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</si>
  <si>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</si>
  <si>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</si>
  <si>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</si>
  <si>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</si>
  <si>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</si>
  <si>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</si>
  <si>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</si>
  <si>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</si>
  <si>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</si>
  <si>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</si>
  <si>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</si>
  <si>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</si>
  <si>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</si>
  <si>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</si>
  <si>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</si>
  <si>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</si>
  <si>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</si>
  <si>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</si>
  <si>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</si>
  <si>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</si>
  <si>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</si>
  <si>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</si>
  <si>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</si>
  <si>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</si>
  <si>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</si>
  <si>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</si>
  <si>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</si>
  <si>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</si>
  <si>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</si>
  <si>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</si>
  <si>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</si>
  <si>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</si>
  <si>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</si>
  <si>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</si>
  <si>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</si>
  <si>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</si>
  <si>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</si>
  <si>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</si>
  <si>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</si>
  <si>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</si>
  <si>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</si>
  <si>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</si>
  <si>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</si>
  <si>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</si>
  <si>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</si>
  <si>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</si>
  <si>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</si>
  <si>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</si>
  <si>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</si>
  <si>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</si>
  <si>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</si>
  <si>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</si>
  <si>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</si>
  <si>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</si>
  <si>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</si>
  <si>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</si>
  <si>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</si>
  <si>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</si>
  <si>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</si>
  <si>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</si>
  <si>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</si>
  <si>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</si>
  <si>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</si>
  <si>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</si>
  <si>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</si>
  <si>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</si>
  <si>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</si>
  <si>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</si>
  <si>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</si>
  <si>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</si>
  <si>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</si>
  <si>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</si>
  <si>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</si>
  <si>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</si>
  <si>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</si>
  <si>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</si>
  <si>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</si>
  <si>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</si>
  <si>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</si>
  <si>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</si>
  <si>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</si>
  <si>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</si>
  <si>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</si>
  <si>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</si>
  <si>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</si>
  <si>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</si>
  <si>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</si>
  <si>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</si>
  <si>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</si>
  <si>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</si>
  <si>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</si>
  <si>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</si>
  <si>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</si>
  <si>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</si>
  <si>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</si>
  <si>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</si>
  <si>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</si>
  <si>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</si>
  <si>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</si>
  <si>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</si>
  <si>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</si>
  <si>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</si>
  <si>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</si>
  <si>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</si>
  <si>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</si>
  <si>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</si>
  <si>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</si>
  <si>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</si>
  <si>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</si>
  <si>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</si>
  <si>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</si>
  <si>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</si>
  <si>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</si>
  <si>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</si>
  <si>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</si>
  <si>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</si>
  <si>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</si>
  <si>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</si>
  <si>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</si>
  <si>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</si>
  <si>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</si>
  <si>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</si>
  <si>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</si>
  <si>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</si>
  <si>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</si>
  <si>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</si>
  <si>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</si>
  <si>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</si>
  <si>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</si>
  <si>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</si>
  <si>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</si>
  <si>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</si>
  <si>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</si>
  <si>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</si>
  <si>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</si>
  <si>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</si>
  <si>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</si>
  <si>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</si>
  <si>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</si>
  <si>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</si>
  <si>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</si>
  <si>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</si>
  <si>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</si>
  <si>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</si>
  <si>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</si>
  <si>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</si>
  <si>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</si>
  <si>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</si>
  <si>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</si>
  <si>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</si>
  <si>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</si>
  <si>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</si>
  <si>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</si>
  <si>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</si>
  <si>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</si>
  <si>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</si>
  <si>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</si>
  <si>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</si>
  <si>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</si>
  <si>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</si>
  <si>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</si>
  <si>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</si>
  <si>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</si>
  <si>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</si>
  <si>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</si>
  <si>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</si>
  <si>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</si>
  <si>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</si>
  <si>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</si>
  <si>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</si>
  <si>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</si>
  <si>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</si>
  <si>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</si>
  <si>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</si>
  <si>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</si>
  <si>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</si>
  <si>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</si>
  <si>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</si>
  <si>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</si>
  <si>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</si>
  <si>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</si>
  <si>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</si>
  <si>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</si>
  <si>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</si>
  <si>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</si>
  <si>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</si>
  <si>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</si>
  <si>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</si>
  <si>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</si>
  <si>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</si>
  <si>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</si>
  <si>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</si>
  <si>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</si>
  <si>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</si>
  <si>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</si>
  <si>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</si>
  <si>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</si>
  <si>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</si>
  <si>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</si>
  <si>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</si>
  <si>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</si>
  <si>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</si>
  <si>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</si>
  <si>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</si>
  <si>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</si>
  <si>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</si>
  <si>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</si>
  <si>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</si>
  <si>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</si>
  <si>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</si>
  <si>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</si>
  <si>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</si>
  <si>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</si>
  <si>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</si>
  <si>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</si>
  <si>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</si>
  <si>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</si>
  <si>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</si>
  <si>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</si>
  <si>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</si>
  <si>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</si>
  <si>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</si>
  <si>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</si>
  <si>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</si>
  <si>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</si>
  <si>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</si>
  <si>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</si>
  <si>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</si>
  <si>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</si>
  <si>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</si>
  <si>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</si>
  <si>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</si>
  <si>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</si>
  <si>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</si>
  <si>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</si>
  <si>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</si>
  <si>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</si>
  <si>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</si>
  <si>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</si>
  <si>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</si>
  <si>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</si>
  <si>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</si>
  <si>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</si>
  <si>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</si>
  <si>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</si>
  <si>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</si>
  <si>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</si>
  <si>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</si>
  <si>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</si>
  <si>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</si>
  <si>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</si>
  <si>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</si>
  <si>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</si>
  <si>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</si>
  <si>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</si>
  <si>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</si>
  <si>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</si>
  <si>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</si>
  <si>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</si>
  <si>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</si>
  <si>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</si>
  <si>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</si>
  <si>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</si>
  <si>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</si>
  <si>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</si>
  <si>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</si>
  <si>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</si>
  <si>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</si>
  <si>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</si>
  <si>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</si>
  <si>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</si>
  <si>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</si>
  <si>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</si>
  <si>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</si>
  <si>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</si>
  <si>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</si>
  <si>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</si>
  <si>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</si>
  <si>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</si>
  <si>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</si>
  <si>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</si>
  <si>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</si>
  <si>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</si>
  <si>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</si>
  <si>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</si>
  <si>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</si>
  <si>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</si>
  <si>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</si>
  <si>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</si>
  <si>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</si>
  <si>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</si>
  <si>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</si>
  <si>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</si>
  <si>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</si>
  <si>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</si>
  <si>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</si>
  <si>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</si>
  <si>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</si>
  <si>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</si>
  <si>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</si>
  <si>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</si>
  <si>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</si>
  <si>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</si>
  <si>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</si>
  <si>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</si>
  <si>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</si>
  <si>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</si>
  <si>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</si>
  <si>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</si>
  <si>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</si>
  <si>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</si>
  <si>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</si>
  <si>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</si>
  <si>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</si>
  <si>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</si>
  <si>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</si>
  <si>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</si>
  <si>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</si>
  <si>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</si>
  <si>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</si>
  <si>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</si>
  <si>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</si>
  <si>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</si>
  <si>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</si>
  <si>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</si>
  <si>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</si>
  <si>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</si>
  <si>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</si>
  <si>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</si>
  <si>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</si>
  <si>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</si>
  <si>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</si>
  <si>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</si>
  <si>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</si>
  <si>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</si>
  <si>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</si>
  <si>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</si>
  <si>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</si>
  <si>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</si>
  <si>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</si>
  <si>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</si>
  <si>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</si>
  <si>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</si>
  <si>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</si>
  <si>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</si>
  <si>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</si>
  <si>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</si>
  <si>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</si>
  <si>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</si>
  <si>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</si>
  <si>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</si>
  <si>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</si>
  <si>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</si>
  <si>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</si>
  <si>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</si>
  <si>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</si>
  <si>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</si>
  <si>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</si>
  <si>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</si>
  <si>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</si>
  <si>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</si>
  <si>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</si>
  <si>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</si>
  <si>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</si>
  <si>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</si>
  <si>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</si>
  <si>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</si>
  <si>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</si>
  <si>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</si>
  <si>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</si>
  <si>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</si>
  <si>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</si>
  <si>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</si>
  <si>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</si>
  <si>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</si>
  <si>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</si>
  <si>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</si>
  <si>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</si>
  <si>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</si>
  <si>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</si>
  <si>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</si>
  <si>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</si>
  <si>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</si>
  <si>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</si>
  <si>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</si>
  <si>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</si>
  <si>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</si>
  <si>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</si>
  <si>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</si>
  <si>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</si>
  <si>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</si>
  <si>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</si>
  <si>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</si>
  <si>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</si>
  <si>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</si>
  <si>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</si>
  <si>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</si>
  <si>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</si>
  <si>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</si>
  <si>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</si>
  <si>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</si>
  <si>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</si>
  <si>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</si>
  <si>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</si>
  <si>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</si>
  <si>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</si>
  <si>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</si>
  <si>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</si>
  <si>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</si>
  <si>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</si>
  <si>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</si>
  <si>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</si>
  <si>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</si>
  <si>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</si>
  <si>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</si>
  <si>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</si>
  <si>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</si>
  <si>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</si>
  <si>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</si>
  <si>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</si>
  <si>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</si>
  <si>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</si>
  <si>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</si>
  <si>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</si>
  <si>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</si>
  <si>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</si>
  <si>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</si>
  <si>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</si>
  <si>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</si>
  <si>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</si>
  <si>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</si>
  <si>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</si>
  <si>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</si>
  <si>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</si>
  <si>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</si>
  <si>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</si>
  <si>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</si>
  <si>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</si>
  <si>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</si>
  <si>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</si>
  <si>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</si>
  <si>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</si>
  <si>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</si>
  <si>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</si>
  <si>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</si>
  <si>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</si>
  <si>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</si>
  <si>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</si>
  <si>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</si>
  <si>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</si>
  <si>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</si>
  <si>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</si>
  <si>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</si>
  <si>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</si>
  <si>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</si>
  <si>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</si>
  <si>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</si>
  <si>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</si>
  <si>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</si>
  <si>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</si>
  <si>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</si>
  <si>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</si>
  <si>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</si>
  <si>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</si>
  <si>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</si>
  <si>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</si>
  <si>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</si>
  <si>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</si>
  <si>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</si>
  <si>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</si>
  <si>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</si>
  <si>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</si>
  <si>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</si>
  <si>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</si>
  <si>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</si>
  <si>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</si>
  <si>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</si>
  <si>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</si>
  <si>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</si>
  <si>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</si>
  <si>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</si>
  <si>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</si>
  <si>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</si>
  <si>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</si>
  <si>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</si>
  <si>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</si>
  <si>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</si>
  <si>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</si>
  <si>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</si>
  <si>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</si>
  <si>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</si>
  <si>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</si>
  <si>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</si>
  <si>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</si>
  <si>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</si>
  <si>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</si>
  <si>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</si>
  <si>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</si>
  <si>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</si>
  <si>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</si>
  <si>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</si>
  <si>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</si>
  <si>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</si>
  <si>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</si>
  <si>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</si>
  <si>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</si>
  <si>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</si>
  <si>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</si>
  <si>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</si>
  <si>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</si>
  <si>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</si>
  <si>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</si>
  <si>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</si>
  <si>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</si>
  <si>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</si>
  <si>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</si>
  <si>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</si>
  <si>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</si>
  <si>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</si>
  <si>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</si>
  <si>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</si>
  <si>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</si>
  <si>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</si>
  <si>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</si>
  <si>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</si>
  <si>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</si>
  <si>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</si>
  <si>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</si>
  <si>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</si>
  <si>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</si>
  <si>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</si>
  <si>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</si>
  <si>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</si>
  <si>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</si>
  <si>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</si>
  <si>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</si>
  <si>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</si>
  <si>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</si>
  <si>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</si>
  <si>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</si>
  <si>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</si>
  <si>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</si>
  <si>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</si>
  <si>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</si>
  <si>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</si>
  <si>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</si>
  <si>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</si>
  <si>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</si>
  <si>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</si>
  <si>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</si>
  <si>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</si>
  <si>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</si>
  <si>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</si>
  <si>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</si>
  <si>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</si>
  <si>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</si>
  <si>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</si>
  <si>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</si>
  <si>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</si>
  <si>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</si>
  <si>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</si>
  <si>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</si>
  <si>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</si>
  <si>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</si>
  <si>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</si>
  <si>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</si>
  <si>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</si>
  <si>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</si>
  <si>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</si>
  <si>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</si>
  <si>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</si>
  <si>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</si>
  <si>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</si>
  <si>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</si>
  <si>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</si>
  <si>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</si>
  <si>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</si>
  <si>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</si>
  <si>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</si>
  <si>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</si>
  <si>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</si>
  <si>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</si>
  <si>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</si>
  <si>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</si>
  <si>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</si>
  <si>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</si>
  <si>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</si>
  <si>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</si>
  <si>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</si>
  <si>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</si>
  <si>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</si>
  <si>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</si>
  <si>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</si>
  <si>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</si>
  <si>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</si>
  <si>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</si>
  <si>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</si>
  <si>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</si>
  <si>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</si>
  <si>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</si>
  <si>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</si>
  <si>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</si>
  <si>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</si>
  <si>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</si>
  <si>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</si>
  <si>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</si>
  <si>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</si>
  <si>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</si>
  <si>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</si>
  <si>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</si>
  <si>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</si>
  <si>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</si>
  <si>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</si>
  <si>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</si>
  <si>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</si>
  <si>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</si>
  <si>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</si>
  <si>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</si>
  <si>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</si>
  <si>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</si>
  <si>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</si>
  <si>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</si>
  <si>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</si>
  <si>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</si>
  <si>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</si>
  <si>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</si>
  <si>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</si>
  <si>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</si>
  <si>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</si>
  <si>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</si>
  <si>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</si>
  <si>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</si>
  <si>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</si>
  <si>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</si>
  <si>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</si>
  <si>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</si>
  <si>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</si>
  <si>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</si>
  <si>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</si>
  <si>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</si>
  <si>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</si>
  <si>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</si>
  <si>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</si>
  <si>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</si>
  <si>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</si>
  <si>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</si>
  <si>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</si>
  <si>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</si>
  <si>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</si>
  <si>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</si>
  <si>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</si>
  <si>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</si>
  <si>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</si>
  <si>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</si>
  <si>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</si>
  <si>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</si>
  <si>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</si>
  <si>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</si>
  <si>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</si>
  <si>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</si>
  <si>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</si>
  <si>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</si>
  <si>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</si>
  <si>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</si>
  <si>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</si>
  <si>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</si>
  <si>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</si>
  <si>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</si>
  <si>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</si>
  <si>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</si>
  <si>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</si>
  <si>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</si>
  <si>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</si>
  <si>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</si>
  <si>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</si>
  <si>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</si>
  <si>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</si>
  <si>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</si>
  <si>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</si>
  <si>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</si>
  <si>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</si>
  <si>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</si>
  <si>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</si>
  <si>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</si>
  <si>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</si>
  <si>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</si>
  <si>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</si>
  <si>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</si>
  <si>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</si>
  <si>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</si>
  <si>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</si>
  <si>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</si>
  <si>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</si>
  <si>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</si>
  <si>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</si>
  <si>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</si>
  <si>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</si>
  <si>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</si>
  <si>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</si>
  <si>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</si>
  <si>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</si>
  <si>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</si>
  <si>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</si>
  <si>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</si>
  <si>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</si>
  <si>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</si>
  <si>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</si>
  <si>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</si>
  <si>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</si>
  <si>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</si>
  <si>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</si>
  <si>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</si>
  <si>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</si>
  <si>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</si>
  <si>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</si>
  <si>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</si>
  <si>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</si>
  <si>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</si>
  <si>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</si>
  <si>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</si>
  <si>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</si>
  <si>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</si>
  <si>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</si>
  <si>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</si>
  <si>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</si>
  <si>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</si>
  <si>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</si>
  <si>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</si>
  <si>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</si>
  <si>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</si>
  <si>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</si>
  <si>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</si>
  <si>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</si>
  <si>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</si>
  <si>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</si>
  <si>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</si>
  <si>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</si>
  <si>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</si>
  <si>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</si>
  <si>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</si>
  <si>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</si>
  <si>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</si>
  <si>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</si>
  <si>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</si>
  <si>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</si>
  <si>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</si>
  <si>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</si>
  <si>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</si>
  <si>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</si>
  <si>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</si>
  <si>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</si>
  <si>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</si>
  <si>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</si>
  <si>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</si>
  <si>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</si>
  <si>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</si>
  <si>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</si>
  <si>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</si>
  <si>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</si>
  <si>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</si>
  <si>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</si>
  <si>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</si>
  <si>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</si>
  <si>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</si>
  <si>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</si>
  <si>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</si>
  <si>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</si>
  <si>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</si>
  <si>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</si>
  <si>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</si>
  <si>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</si>
  <si>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</si>
  <si>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</si>
  <si>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</si>
  <si>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</si>
  <si>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</si>
  <si>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</si>
  <si>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</si>
  <si>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</si>
  <si>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</si>
  <si>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</si>
  <si>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</si>
  <si>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</si>
  <si>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</si>
  <si>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</si>
  <si>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</si>
  <si>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</si>
  <si>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</si>
  <si>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</si>
  <si>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</si>
  <si>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</si>
  <si>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</si>
  <si>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</si>
  <si>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</si>
  <si>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</si>
  <si>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</si>
  <si>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</si>
  <si>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</si>
  <si>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</si>
  <si>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</si>
  <si>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</si>
  <si>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</si>
  <si>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</si>
  <si>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</si>
  <si>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</si>
  <si>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</si>
  <si>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</si>
  <si>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</si>
  <si>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</si>
  <si>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</si>
  <si>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</si>
  <si>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</si>
  <si>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</si>
  <si>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</si>
  <si>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</si>
  <si>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</si>
  <si>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</si>
  <si>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</si>
  <si>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</si>
  <si>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</si>
  <si>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</si>
  <si>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</si>
  <si>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</si>
  <si>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</si>
  <si>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</si>
  <si>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</si>
  <si>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</si>
  <si>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</si>
  <si>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</si>
  <si>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</si>
  <si>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</si>
  <si>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</si>
  <si>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</si>
  <si>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</si>
  <si>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</si>
  <si>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</si>
  <si>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</si>
  <si>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</si>
  <si>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</si>
  <si>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</si>
  <si>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</si>
  <si>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</si>
  <si>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</si>
  <si>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</si>
  <si>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</si>
  <si>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</si>
  <si>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</si>
  <si>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</si>
  <si>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</si>
  <si>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</si>
  <si>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</si>
  <si>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</si>
  <si>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</si>
  <si>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</si>
  <si>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</si>
  <si>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</si>
  <si>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</si>
  <si>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</si>
  <si>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</si>
  <si>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</si>
  <si>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</si>
  <si>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</si>
  <si>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</si>
  <si>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</si>
  <si>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</si>
  <si>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</si>
  <si>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</si>
  <si>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</si>
  <si>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</si>
  <si>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</si>
  <si>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</si>
  <si>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</si>
  <si>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</si>
  <si>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</si>
  <si>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</si>
  <si>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</si>
  <si>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</si>
  <si>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</si>
  <si>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</si>
  <si>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</si>
  <si>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</si>
  <si>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</si>
  <si>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</si>
  <si>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</si>
  <si>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</si>
  <si>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</si>
  <si>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</si>
  <si>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</si>
  <si>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</si>
  <si>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</si>
  <si>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</si>
  <si>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</si>
  <si>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</si>
  <si>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</si>
  <si>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</si>
  <si>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</si>
  <si>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</si>
  <si>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</si>
  <si>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</si>
  <si>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</si>
  <si>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</si>
  <si>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</si>
  <si>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</si>
  <si>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</si>
  <si>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</si>
  <si>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</si>
  <si>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</si>
  <si>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</si>
  <si>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</si>
  <si>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</si>
  <si>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</si>
  <si>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</si>
  <si>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</si>
  <si>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</si>
  <si>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</si>
  <si>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</si>
  <si>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</si>
  <si>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</si>
  <si>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</si>
  <si>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</si>
  <si>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</si>
  <si>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</si>
  <si>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</si>
  <si>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</si>
  <si>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</si>
  <si>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</si>
  <si>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</si>
  <si>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</si>
  <si>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</si>
  <si>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</si>
  <si>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</si>
  <si>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</si>
  <si>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</si>
  <si>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</si>
  <si>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</si>
  <si>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</si>
  <si>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</si>
  <si>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</si>
  <si>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</si>
  <si>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</si>
  <si>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</si>
  <si>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</si>
  <si>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</si>
  <si>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</si>
  <si>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</si>
  <si>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</si>
  <si>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</si>
  <si>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</si>
  <si>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</si>
  <si>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</si>
  <si>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</si>
  <si>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</si>
  <si>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</si>
  <si>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</si>
  <si>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</si>
  <si>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</si>
  <si>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</si>
  <si>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</si>
  <si>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</si>
  <si>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</si>
  <si>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</si>
  <si>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</si>
  <si>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</si>
  <si>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</si>
  <si>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</si>
  <si>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</si>
  <si>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</si>
  <si>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</si>
  <si>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</si>
  <si>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</si>
  <si>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</si>
  <si>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</si>
  <si>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</si>
  <si>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</si>
  <si>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</si>
  <si>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</si>
  <si>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</si>
  <si>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</si>
  <si>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</si>
  <si>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</si>
  <si>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</si>
  <si>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</si>
  <si>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</si>
  <si>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</si>
  <si>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</si>
  <si>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</si>
  <si>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</si>
  <si>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</si>
  <si>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</si>
  <si>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</si>
  <si>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</si>
  <si>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</si>
  <si>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</si>
  <si>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</si>
  <si>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</si>
  <si>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</si>
  <si>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</si>
  <si>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</si>
  <si>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</si>
  <si>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</si>
  <si>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</si>
  <si>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</si>
  <si>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</si>
  <si>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</si>
  <si>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</si>
  <si>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</si>
  <si>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</si>
  <si>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</si>
  <si>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</si>
  <si>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</si>
  <si>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</si>
  <si>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</si>
  <si>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</si>
  <si>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</si>
  <si>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</si>
  <si>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</si>
  <si>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</si>
  <si>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</si>
  <si>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</si>
  <si>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</si>
  <si>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</si>
  <si>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</si>
  <si>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</si>
  <si>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</si>
  <si>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</si>
  <si>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</si>
  <si>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</si>
  <si>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</si>
  <si>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</si>
  <si>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</si>
  <si>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</si>
  <si>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</si>
  <si>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</si>
  <si>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</si>
  <si>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</si>
  <si>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</si>
  <si>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</si>
  <si>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</si>
  <si>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</si>
  <si>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</si>
  <si>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</si>
  <si>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</si>
  <si>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</si>
  <si>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</si>
  <si>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</si>
  <si>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</si>
  <si>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</si>
  <si>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</si>
  <si>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</si>
  <si>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</si>
  <si>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</si>
  <si>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</si>
  <si>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</si>
  <si>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</si>
  <si>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</si>
  <si>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</si>
  <si>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</si>
  <si>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</si>
  <si>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</si>
  <si>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</si>
  <si>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</si>
  <si>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</si>
  <si>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</si>
  <si>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</si>
  <si>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</si>
  <si>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</si>
  <si>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</si>
  <si>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</si>
  <si>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</si>
  <si>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</si>
  <si>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</si>
  <si>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</si>
  <si>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</si>
  <si>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</si>
  <si>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</si>
  <si>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</si>
  <si>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</si>
  <si>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</si>
  <si>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</si>
  <si>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</si>
  <si>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</si>
  <si>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</si>
  <si>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</si>
  <si>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</si>
  <si>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</si>
  <si>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</si>
  <si>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</si>
  <si>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</si>
  <si>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</si>
  <si>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</si>
  <si>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</si>
  <si>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</si>
  <si>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</si>
  <si>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</si>
  <si>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</si>
  <si>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</si>
  <si>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</si>
  <si>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</si>
  <si>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</si>
  <si>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</si>
  <si>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</si>
  <si>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</si>
  <si>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</si>
  <si>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</si>
  <si>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</si>
  <si>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</si>
  <si>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</si>
  <si>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</si>
  <si>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</si>
  <si>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</si>
  <si>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</si>
  <si>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</si>
  <si>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</si>
  <si>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</si>
  <si>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</si>
  <si>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</si>
  <si>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</si>
  <si>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</si>
  <si>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</si>
  <si>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</si>
  <si>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</si>
  <si>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</si>
  <si>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</si>
  <si>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</si>
  <si>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</si>
  <si>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</si>
  <si>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</si>
  <si>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</si>
  <si>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</si>
  <si>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</si>
  <si>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</si>
  <si>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</si>
  <si>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</si>
  <si>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</si>
  <si>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</si>
  <si>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</si>
  <si>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</si>
  <si>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</si>
  <si>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</si>
  <si>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</si>
  <si>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</si>
  <si>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</si>
  <si>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</si>
  <si>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</si>
  <si>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</si>
  <si>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</si>
  <si>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</si>
  <si>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</si>
  <si>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</si>
  <si>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</si>
  <si>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</si>
  <si>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</si>
  <si>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</si>
  <si>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</si>
  <si>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</si>
  <si>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</si>
  <si>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</si>
  <si>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</si>
  <si>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</si>
  <si>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</si>
  <si>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</si>
  <si>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</si>
  <si>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</si>
  <si>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</si>
  <si>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</si>
  <si>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</si>
  <si>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</si>
  <si>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</si>
  <si>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</si>
  <si>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</si>
  <si>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</si>
  <si>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</si>
  <si>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</si>
  <si>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</si>
  <si>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</si>
  <si>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</si>
  <si>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</si>
  <si>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</si>
  <si>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</si>
  <si>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</si>
  <si>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</si>
  <si>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</si>
  <si>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</si>
  <si>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</si>
  <si>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</si>
  <si>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</si>
  <si>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</si>
  <si>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</si>
  <si>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</si>
  <si>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</si>
  <si>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</si>
  <si>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</si>
  <si>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</si>
  <si>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</si>
  <si>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</si>
  <si>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</si>
  <si>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</si>
  <si>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</si>
  <si>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</si>
  <si>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</si>
  <si>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</si>
  <si>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</si>
  <si>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</si>
  <si>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</si>
  <si>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</si>
  <si>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</si>
  <si>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</si>
  <si>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</si>
  <si>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</si>
  <si>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</si>
  <si>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</si>
  <si>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</si>
  <si>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</si>
  <si>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</si>
  <si>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</si>
  <si>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</si>
  <si>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</si>
  <si>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</si>
  <si>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</si>
  <si>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</si>
  <si>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</si>
  <si>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</si>
  <si>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</si>
  <si>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</si>
  <si>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</si>
  <si>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</si>
  <si>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</si>
  <si>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</si>
  <si>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</si>
  <si>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</si>
  <si>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</si>
  <si>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</si>
  <si>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</si>
  <si>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</si>
  <si>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</si>
  <si>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</si>
  <si>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</si>
  <si>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</si>
  <si>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</si>
  <si>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</si>
  <si>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</si>
  <si>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</si>
  <si>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</si>
  <si>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</si>
  <si>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</si>
  <si>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</si>
  <si>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</si>
  <si>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</si>
  <si>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</si>
  <si>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</si>
  <si>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</si>
  <si>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</si>
  <si>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</si>
  <si>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</si>
  <si>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</si>
  <si>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</si>
  <si>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</si>
  <si>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</si>
  <si>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</si>
  <si>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</si>
  <si>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</si>
  <si>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</si>
  <si>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</si>
  <si>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</si>
  <si>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</si>
  <si>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</si>
  <si>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</si>
  <si>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</si>
  <si>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</si>
  <si>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</si>
  <si>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</si>
  <si>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</si>
  <si>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</si>
  <si>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</si>
  <si>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</si>
  <si>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</si>
  <si>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</si>
  <si>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</si>
  <si>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</si>
  <si>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</si>
  <si>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</si>
  <si>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</si>
  <si>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</si>
  <si>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</si>
  <si>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</si>
  <si>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</si>
  <si>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</si>
  <si>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</si>
  <si>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</si>
  <si>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</si>
  <si>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</si>
  <si>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</si>
  <si>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</si>
  <si>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</si>
  <si>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</si>
  <si>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</si>
  <si>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</si>
  <si>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</si>
  <si>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</si>
  <si>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</si>
  <si>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</si>
  <si>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</si>
  <si>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</si>
  <si>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</si>
  <si>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</si>
  <si>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</si>
  <si>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</si>
  <si>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</si>
  <si>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</si>
  <si>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</si>
  <si>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</si>
  <si>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</si>
  <si>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</si>
  <si>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</si>
  <si>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</si>
  <si>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</si>
  <si>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</si>
  <si>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</si>
  <si>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</si>
  <si>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</si>
  <si>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</si>
  <si>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</si>
  <si>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</si>
  <si>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</si>
  <si>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</si>
  <si>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</si>
  <si>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</si>
  <si>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</si>
  <si>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</si>
  <si>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</si>
  <si>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</si>
  <si>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</si>
  <si>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</si>
  <si>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</si>
  <si>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</si>
  <si>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</si>
  <si>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</si>
  <si>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</si>
  <si>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</si>
  <si>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</si>
  <si>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</si>
  <si>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</si>
  <si>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</si>
  <si>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</si>
  <si>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</si>
  <si>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</si>
  <si>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</si>
  <si>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</si>
  <si>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</si>
  <si>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</si>
  <si>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</si>
  <si>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</si>
  <si>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</si>
  <si>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</si>
  <si>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</si>
  <si>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</si>
  <si>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</si>
  <si>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</si>
  <si>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</si>
  <si>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</si>
  <si>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</si>
  <si>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</si>
  <si>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</si>
  <si>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</si>
  <si>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</si>
  <si>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</si>
  <si>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</si>
  <si>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</si>
  <si>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</si>
  <si>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</si>
  <si>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</si>
  <si>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</si>
  <si>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</si>
  <si>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</si>
  <si>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</si>
  <si>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</si>
  <si>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</si>
  <si>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</si>
  <si>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</si>
  <si>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</si>
  <si>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</si>
  <si>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</si>
  <si>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</si>
  <si>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</si>
  <si>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</si>
  <si>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</si>
  <si>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</si>
  <si>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</si>
  <si>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</si>
  <si>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</si>
  <si>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</si>
  <si>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</si>
  <si>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</si>
  <si>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</si>
  <si>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</si>
  <si>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</si>
  <si>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</si>
  <si>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</si>
  <si>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</si>
  <si>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</si>
  <si>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</si>
  <si>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</si>
  <si>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</si>
  <si>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</si>
  <si>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</si>
  <si>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</si>
  <si>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</si>
  <si>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</si>
  <si>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</si>
  <si>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</si>
  <si>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</si>
  <si>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</si>
  <si>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</si>
  <si>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</si>
  <si>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</si>
  <si>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</si>
  <si>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</si>
  <si>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</si>
  <si>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</si>
  <si>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</si>
  <si>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</si>
  <si>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</si>
  <si>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</si>
  <si>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</si>
  <si>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</si>
  <si>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</si>
  <si>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</si>
  <si>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</si>
  <si>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</si>
  <si>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</si>
  <si>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</si>
  <si>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</si>
  <si>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</si>
  <si>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</si>
  <si>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</si>
  <si>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</si>
  <si>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</si>
  <si>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</si>
  <si>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</si>
  <si>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</si>
  <si>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</si>
  <si>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</si>
  <si>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</si>
  <si>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</si>
  <si>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</si>
  <si>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</si>
  <si>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</si>
  <si>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</si>
  <si>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</si>
  <si>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</si>
  <si>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</si>
  <si>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</si>
  <si>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</si>
  <si>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</si>
  <si>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</si>
  <si>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</si>
  <si>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</si>
  <si>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</si>
  <si>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</si>
  <si>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</si>
  <si>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</si>
  <si>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</si>
  <si>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</si>
  <si>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</si>
  <si>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</si>
  <si>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</si>
  <si>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</si>
  <si>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</si>
  <si>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</si>
  <si>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</si>
  <si>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</si>
  <si>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</si>
  <si>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</si>
  <si>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</si>
  <si>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</si>
  <si>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</si>
  <si>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</si>
  <si>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</si>
  <si>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</si>
  <si>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</si>
  <si>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</si>
  <si>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</si>
  <si>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</si>
  <si>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</si>
  <si>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</si>
  <si>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</si>
  <si>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</si>
  <si>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</si>
  <si>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</si>
  <si>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</si>
  <si>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</si>
  <si>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</si>
  <si>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</si>
  <si>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</si>
  <si>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</si>
  <si>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</si>
  <si>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</si>
  <si>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</si>
  <si>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</si>
  <si>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</si>
  <si>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</si>
  <si>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</si>
  <si>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</si>
  <si>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</si>
  <si>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</si>
  <si>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</si>
  <si>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</si>
  <si>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</si>
  <si>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</si>
  <si>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</si>
  <si>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</si>
  <si>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</si>
  <si>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</si>
  <si>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</si>
  <si>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</si>
  <si>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</si>
  <si>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</si>
  <si>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</si>
  <si>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</si>
  <si>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</si>
  <si>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</si>
  <si>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</si>
  <si>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</si>
  <si>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</si>
  <si>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</si>
  <si>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</si>
  <si>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</si>
  <si>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</si>
  <si>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</si>
  <si>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</si>
  <si>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</si>
  <si>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</si>
  <si>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</si>
  <si>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</si>
  <si>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</si>
  <si>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</si>
  <si>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</si>
  <si>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</si>
  <si>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</si>
  <si>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</si>
  <si>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</si>
  <si>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</si>
  <si>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</si>
  <si>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</si>
  <si>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</si>
  <si>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</si>
  <si>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</si>
  <si>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</si>
  <si>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</si>
  <si>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</si>
  <si>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</si>
  <si>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</si>
  <si>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</si>
  <si>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</si>
  <si>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</si>
  <si>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</si>
  <si>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</si>
  <si>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</si>
  <si>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</si>
  <si>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</si>
  <si>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</si>
  <si>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</si>
  <si>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</si>
  <si>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</si>
  <si>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</si>
  <si>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</si>
  <si>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</si>
  <si>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</si>
  <si>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</si>
  <si>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</si>
  <si>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</si>
  <si>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</si>
  <si>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</si>
  <si>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</si>
  <si>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</si>
  <si>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</si>
  <si>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</si>
  <si>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</si>
  <si>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</si>
  <si>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</si>
  <si>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</si>
  <si>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</si>
  <si>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</si>
  <si>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</si>
  <si>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</si>
  <si>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</si>
  <si>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</si>
  <si>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</si>
  <si>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</si>
  <si>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</si>
  <si>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</si>
  <si>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</si>
  <si>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</si>
  <si>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</si>
  <si>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</si>
  <si>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</si>
  <si>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</si>
  <si>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</si>
  <si>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</si>
  <si>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</si>
  <si>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</si>
  <si>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</si>
  <si>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</si>
  <si>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</si>
  <si>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</si>
  <si>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</si>
  <si>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</si>
  <si>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</si>
  <si>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</si>
  <si>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</si>
  <si>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</si>
  <si>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</si>
  <si>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</si>
  <si>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</si>
  <si>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</si>
  <si>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</si>
  <si>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</si>
  <si>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</si>
  <si>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</si>
  <si>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</si>
  <si>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</si>
  <si>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</si>
  <si>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</si>
  <si>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</si>
  <si>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</si>
  <si>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</si>
  <si>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</si>
  <si>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</si>
  <si>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</si>
  <si>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</si>
  <si>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</si>
  <si>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</si>
  <si>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</si>
  <si>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</si>
  <si>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</si>
  <si>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</si>
  <si>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</si>
  <si>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</si>
  <si>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</si>
  <si>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</si>
  <si>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</si>
  <si>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</si>
  <si>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</si>
  <si>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</si>
  <si>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</si>
  <si>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</si>
  <si>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</si>
  <si>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</si>
  <si>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</si>
  <si>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</si>
  <si>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</si>
  <si>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</si>
  <si>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</si>
  <si>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</si>
  <si>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</si>
  <si>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</si>
  <si>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</si>
  <si>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</si>
  <si>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</si>
  <si>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</si>
  <si>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</si>
  <si>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</si>
  <si>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</si>
  <si>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</si>
  <si>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</si>
  <si>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</si>
  <si>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</si>
  <si>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</si>
  <si>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</si>
  <si>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</si>
  <si>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</si>
  <si>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</si>
  <si>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</si>
  <si>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</si>
  <si>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</si>
  <si>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</si>
  <si>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</si>
  <si>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</si>
  <si>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</si>
  <si>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</si>
  <si>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</si>
  <si>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</si>
  <si>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</si>
  <si>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</si>
  <si>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</si>
  <si>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</si>
  <si>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</si>
  <si>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</si>
  <si>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</si>
  <si>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</si>
  <si>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</si>
  <si>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</si>
  <si>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</si>
  <si>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</si>
  <si>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</si>
  <si>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</si>
  <si>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</si>
  <si>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</si>
  <si>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</si>
  <si>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</si>
  <si>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</si>
  <si>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</si>
  <si>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</si>
  <si>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</si>
  <si>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</si>
  <si>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</si>
  <si>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</si>
  <si>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</si>
  <si>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</si>
  <si>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</si>
  <si>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</si>
  <si>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</si>
  <si>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</si>
  <si>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</si>
  <si>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</si>
  <si>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</si>
  <si>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</si>
  <si>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</si>
  <si>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</si>
  <si>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</si>
  <si>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</si>
  <si>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</si>
  <si>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</si>
  <si>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</si>
  <si>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</si>
  <si>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</si>
  <si>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</si>
  <si>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</si>
  <si>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</si>
  <si>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</si>
  <si>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</si>
  <si>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</si>
  <si>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</si>
  <si>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</si>
  <si>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</si>
  <si>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</si>
  <si>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</si>
  <si>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</si>
  <si>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</si>
  <si>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</si>
  <si>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</si>
  <si>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</si>
  <si>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</si>
  <si>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</si>
  <si>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</si>
  <si>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</si>
  <si>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</si>
  <si>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</si>
  <si>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</si>
  <si>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</si>
  <si>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</si>
  <si>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</si>
  <si>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</si>
  <si>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</si>
  <si>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</si>
  <si>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</si>
  <si>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</si>
  <si>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</si>
  <si>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</si>
  <si>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</si>
  <si>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</si>
  <si>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</si>
  <si>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</si>
  <si>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</si>
  <si>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</si>
  <si>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</si>
  <si>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</si>
  <si>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</si>
  <si>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</si>
  <si>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</si>
  <si>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</si>
  <si>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</si>
  <si>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</si>
  <si>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</si>
  <si>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</si>
  <si>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</si>
  <si>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</si>
  <si>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</si>
  <si>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</si>
  <si>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</si>
  <si>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</si>
  <si>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</si>
  <si>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</si>
  <si>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</si>
  <si>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</si>
  <si>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</si>
  <si>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</si>
  <si>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</si>
  <si>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</si>
  <si>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</si>
  <si>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</si>
  <si>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</si>
  <si>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</si>
  <si>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</si>
  <si>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</si>
  <si>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</si>
  <si>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</si>
  <si>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</si>
  <si>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</si>
  <si>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</si>
  <si>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</si>
  <si>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</si>
  <si>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</si>
  <si>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</si>
  <si>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</si>
  <si>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</si>
  <si>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</si>
  <si>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</si>
  <si>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</si>
  <si>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</si>
  <si>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</si>
  <si>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</si>
  <si>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</si>
  <si>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</si>
  <si>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</si>
  <si>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</si>
  <si>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</si>
  <si>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</si>
  <si>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</si>
  <si>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</si>
  <si>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</si>
  <si>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</si>
  <si>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</si>
  <si>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</si>
  <si>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</si>
  <si>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</si>
  <si>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</si>
  <si>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</si>
  <si>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</si>
  <si>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</si>
  <si>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</si>
  <si>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</si>
  <si>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</si>
  <si>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</si>
  <si>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</si>
  <si>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</si>
  <si>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</si>
  <si>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</si>
  <si>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</si>
  <si>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</si>
  <si>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</si>
  <si>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</si>
  <si>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</si>
  <si>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</si>
  <si>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</si>
  <si>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</si>
  <si>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</si>
  <si>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</si>
  <si>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</si>
  <si>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</si>
  <si>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</si>
  <si>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</si>
  <si>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</si>
  <si>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</si>
  <si>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</si>
  <si>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</si>
  <si>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</si>
  <si>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</si>
  <si>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</si>
  <si>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</si>
  <si>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</si>
  <si>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</si>
  <si>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</si>
  <si>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</si>
  <si>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</si>
  <si>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</si>
  <si>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</si>
  <si>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</si>
  <si>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</si>
  <si>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</si>
  <si>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</si>
  <si>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</si>
  <si>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</si>
  <si>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</si>
  <si>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</si>
  <si>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</si>
  <si>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</si>
  <si>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</si>
  <si>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</si>
  <si>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</si>
  <si>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</si>
  <si>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</si>
  <si>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</si>
  <si>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</si>
  <si>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</si>
  <si>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</si>
  <si>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</si>
  <si>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</si>
  <si>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</si>
  <si>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</si>
  <si>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</si>
  <si>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</si>
  <si>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</si>
  <si>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</si>
  <si>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</si>
  <si>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</si>
  <si>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</si>
  <si>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</si>
  <si>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</si>
  <si>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</si>
  <si>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</si>
  <si>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</si>
  <si>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</si>
  <si>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</si>
  <si>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</si>
  <si>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</si>
  <si>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</si>
  <si>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</si>
  <si>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</si>
  <si>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</si>
  <si>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</si>
  <si>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</si>
  <si>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</si>
  <si>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</si>
  <si>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</si>
  <si>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</si>
  <si>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</si>
  <si>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</si>
  <si>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</si>
  <si>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</si>
  <si>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</si>
  <si>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</si>
  <si>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</si>
  <si>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</si>
  <si>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</si>
  <si>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</si>
  <si>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</si>
  <si>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</si>
  <si>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</si>
  <si>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</si>
  <si>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</si>
  <si>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</si>
  <si>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</si>
  <si>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</si>
  <si>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</si>
  <si>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</si>
  <si>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</si>
  <si>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</si>
  <si>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</si>
  <si>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</si>
  <si>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</si>
  <si>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</si>
  <si>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</si>
  <si>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</si>
  <si>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</si>
  <si>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</si>
  <si>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</si>
  <si>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</si>
  <si>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</si>
  <si>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</si>
  <si>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</si>
  <si>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</si>
  <si>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</si>
  <si>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</si>
  <si>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</si>
  <si>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</si>
  <si>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</si>
  <si>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</si>
  <si>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</si>
  <si>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</si>
  <si>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</si>
  <si>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</si>
  <si>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</si>
  <si>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</si>
  <si>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</si>
  <si>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</si>
  <si>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</si>
  <si>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</si>
  <si>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</si>
  <si>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</si>
  <si>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</si>
  <si>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</si>
  <si>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</si>
  <si>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</si>
  <si>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</si>
  <si>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</si>
  <si>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</si>
  <si>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</si>
  <si>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</si>
  <si>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</si>
  <si>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</si>
  <si>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</si>
  <si>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</si>
  <si>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</si>
  <si>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</si>
  <si>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</si>
  <si>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</si>
  <si>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</si>
  <si>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</si>
  <si>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</si>
  <si>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</si>
  <si>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</si>
  <si>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</si>
  <si>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</si>
  <si>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</si>
  <si>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</si>
  <si>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</si>
  <si>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</si>
  <si>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</si>
  <si>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</si>
  <si>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</si>
  <si>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</si>
  <si>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</si>
  <si>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</si>
  <si>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</si>
  <si>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</si>
  <si>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</si>
  <si>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</si>
  <si>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</si>
  <si>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</si>
  <si>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</si>
  <si>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</si>
  <si>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</si>
  <si>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</si>
  <si>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</si>
  <si>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</si>
  <si>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</si>
  <si>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</si>
  <si>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</si>
  <si>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</si>
  <si>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</si>
  <si>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</si>
  <si>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</si>
  <si>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</si>
  <si>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</si>
  <si>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</si>
  <si>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</si>
  <si>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</si>
  <si>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</si>
  <si>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</si>
  <si>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</si>
  <si>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</si>
  <si>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</si>
  <si>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</si>
  <si>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</si>
  <si>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</si>
  <si>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</si>
  <si>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</si>
  <si>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</si>
  <si>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</si>
  <si>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</si>
  <si>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</si>
  <si>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</si>
  <si>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</si>
  <si>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</si>
  <si>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</si>
  <si>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</si>
  <si>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</si>
  <si>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</si>
  <si>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</si>
  <si>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</si>
  <si>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</si>
  <si>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</si>
  <si>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</si>
  <si>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</si>
  <si>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</si>
  <si>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</si>
  <si>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</si>
  <si>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</si>
  <si>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</si>
  <si>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</si>
  <si>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</si>
  <si>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</si>
  <si>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</si>
  <si>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</si>
  <si>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</si>
  <si>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</si>
  <si>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</si>
  <si>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</si>
  <si>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</si>
  <si>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</si>
  <si>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</si>
  <si>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</si>
  <si>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</si>
  <si>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</si>
  <si>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</si>
  <si>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</si>
  <si>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</si>
  <si>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</si>
  <si>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</si>
  <si>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</si>
  <si>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</si>
  <si>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</si>
  <si>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</si>
  <si>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</si>
  <si>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</si>
  <si>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</si>
  <si>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</si>
  <si>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</si>
  <si>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</si>
  <si>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</si>
  <si>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</si>
  <si>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</si>
  <si>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</si>
  <si>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</si>
  <si>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</si>
  <si>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</si>
  <si>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</si>
  <si>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</si>
  <si>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</si>
  <si>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</si>
  <si>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</si>
  <si>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</si>
  <si>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</si>
  <si>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</si>
  <si>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</si>
  <si>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</si>
  <si>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</si>
  <si>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</si>
  <si>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</si>
  <si>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</si>
  <si>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</si>
  <si>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</si>
  <si>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</si>
  <si>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</si>
  <si>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</si>
  <si>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</si>
  <si>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</si>
  <si>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</si>
  <si>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</si>
  <si>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</si>
  <si>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</si>
  <si>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</si>
  <si>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</si>
  <si>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</si>
  <si>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</si>
  <si>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</si>
  <si>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</si>
  <si>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</si>
  <si>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</si>
  <si>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</si>
  <si>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</si>
  <si>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</si>
  <si>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</si>
  <si>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</si>
  <si>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</si>
  <si>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</si>
  <si>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</si>
  <si>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</si>
  <si>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</si>
  <si>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</si>
  <si>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</si>
  <si>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</si>
  <si>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</si>
  <si>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</si>
  <si>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</si>
  <si>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</si>
  <si>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</si>
  <si>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</si>
  <si>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</si>
  <si>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</si>
  <si>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</si>
  <si>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</si>
  <si>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</si>
  <si>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</si>
  <si>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</si>
  <si>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</si>
  <si>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</si>
  <si>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</si>
  <si>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</si>
  <si>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</si>
  <si>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</si>
  <si>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</si>
  <si>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</si>
  <si>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</si>
  <si>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</si>
  <si>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</si>
  <si>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</si>
  <si>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</si>
  <si>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</si>
  <si>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</si>
  <si>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</si>
  <si>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</si>
  <si>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</si>
  <si>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</si>
  <si>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</si>
  <si>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</si>
  <si>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</si>
  <si>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</si>
  <si>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</si>
  <si>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</si>
  <si>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</si>
  <si>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</si>
  <si>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</si>
  <si>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</si>
  <si>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</si>
  <si>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</si>
  <si>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</si>
  <si>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</si>
  <si>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</si>
  <si>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</si>
  <si>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</si>
  <si>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</si>
  <si>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</si>
  <si>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</si>
  <si>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</si>
  <si>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</si>
  <si>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</si>
  <si>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</si>
  <si>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</si>
  <si>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</si>
  <si>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</si>
  <si>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</si>
  <si>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</si>
  <si>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</si>
  <si>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</si>
  <si>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</si>
  <si>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</si>
  <si>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</si>
  <si>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</si>
  <si>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</si>
  <si>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</si>
  <si>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</si>
  <si>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</si>
  <si>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</si>
  <si>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</si>
  <si>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</si>
  <si>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</si>
  <si>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</si>
  <si>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</si>
  <si>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</si>
  <si>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</si>
  <si>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</si>
  <si>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</si>
  <si>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</si>
  <si>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</si>
  <si>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</si>
  <si>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</si>
  <si>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</si>
  <si>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</si>
  <si>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</si>
  <si>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</si>
  <si>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</si>
  <si>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</si>
  <si>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</si>
  <si>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</si>
  <si>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</si>
  <si>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</si>
  <si>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</si>
  <si>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</si>
  <si>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</si>
  <si>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</si>
  <si>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</si>
  <si>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</si>
  <si>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</si>
  <si>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</si>
  <si>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</si>
  <si>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</si>
  <si>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</si>
  <si>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</si>
  <si>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</si>
  <si>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</si>
  <si>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</si>
  <si>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</si>
  <si>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</si>
  <si>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</si>
  <si>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</si>
  <si>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</si>
  <si>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</si>
  <si>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</si>
  <si>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</si>
  <si>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</si>
  <si>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</si>
  <si>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</si>
  <si>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</si>
  <si>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</si>
  <si>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</si>
  <si>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</si>
  <si>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</si>
  <si>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</si>
  <si>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</si>
  <si>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</si>
  <si>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</si>
  <si>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</si>
  <si>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</si>
  <si>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</si>
  <si>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</si>
  <si>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</si>
  <si>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</si>
  <si>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</si>
  <si>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</si>
  <si>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</si>
  <si>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</si>
  <si>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</si>
  <si>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</si>
  <si>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</si>
  <si>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</si>
  <si>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</si>
  <si>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</si>
  <si>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</si>
  <si>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</si>
  <si>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</si>
  <si>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</si>
  <si>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</si>
  <si>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</si>
  <si>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</si>
  <si>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</si>
  <si>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</si>
  <si>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</si>
  <si>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</si>
  <si>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</si>
  <si>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</si>
  <si>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</si>
  <si>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</si>
  <si>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</si>
  <si>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</si>
  <si>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</si>
  <si>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</si>
  <si>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</si>
  <si>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</si>
  <si>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</si>
  <si>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</si>
  <si>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</si>
  <si>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</si>
  <si>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</si>
  <si>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</si>
  <si>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</si>
  <si>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</si>
  <si>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</si>
  <si>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</si>
  <si>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</si>
  <si>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</si>
  <si>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</si>
  <si>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</si>
  <si>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</si>
  <si>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</si>
  <si>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</si>
  <si>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</si>
  <si>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</si>
  <si>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</si>
  <si>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</si>
  <si>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</si>
  <si>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</si>
  <si>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</si>
  <si>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</si>
  <si>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</si>
  <si>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</si>
  <si>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</si>
  <si>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</si>
  <si>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</si>
  <si>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</si>
  <si>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</si>
  <si>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</si>
  <si>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</si>
  <si>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</si>
  <si>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</si>
  <si>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</si>
  <si>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</si>
  <si>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</si>
  <si>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</si>
  <si>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</si>
  <si>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</si>
  <si>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</si>
  <si>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</si>
  <si>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</si>
  <si>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</si>
  <si>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</si>
  <si>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</si>
  <si>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</si>
  <si>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</si>
  <si>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</si>
  <si>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</si>
  <si>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</si>
  <si>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</si>
  <si>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</si>
  <si>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</si>
  <si>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</si>
  <si>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</si>
  <si>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</si>
  <si>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</si>
  <si>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</si>
  <si>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</si>
  <si>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</si>
  <si>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</si>
  <si>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</si>
  <si>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</si>
  <si>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</si>
  <si>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</si>
  <si>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</si>
  <si>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</si>
  <si>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</si>
  <si>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</si>
  <si>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</si>
  <si>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</si>
  <si>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</si>
  <si>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</si>
  <si>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</si>
  <si>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</si>
  <si>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</si>
  <si>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</si>
  <si>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</si>
  <si>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</si>
  <si>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</si>
  <si>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</si>
  <si>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</si>
  <si>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</si>
  <si>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</si>
  <si>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</si>
  <si>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</si>
  <si>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</si>
  <si>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</si>
  <si>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</si>
  <si>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</si>
  <si>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</si>
  <si>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</si>
  <si>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</si>
  <si>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</si>
  <si>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</si>
  <si>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</si>
  <si>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</si>
  <si>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</si>
  <si>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</si>
  <si>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</si>
  <si>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</si>
  <si>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</si>
  <si>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</si>
  <si>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</si>
  <si>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</si>
  <si>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</si>
  <si>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</si>
  <si>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</si>
  <si>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</si>
  <si>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</si>
  <si>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</si>
  <si>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</si>
  <si>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</si>
  <si>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</si>
  <si>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</si>
  <si>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</si>
  <si>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</si>
  <si>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</si>
  <si>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</si>
  <si>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</si>
  <si>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</si>
  <si>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</si>
  <si>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</si>
  <si>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</si>
  <si>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</si>
  <si>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</si>
  <si>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</si>
  <si>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</si>
  <si>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</si>
  <si>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</si>
  <si>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</si>
  <si>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</si>
  <si>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</si>
  <si>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</si>
  <si>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</si>
  <si>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</si>
  <si>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</si>
  <si>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</si>
  <si>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</si>
  <si>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</si>
  <si>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</si>
  <si>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</si>
  <si>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</si>
  <si>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</si>
  <si>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</si>
  <si>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</si>
  <si>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</si>
  <si>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</si>
  <si>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</si>
  <si>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</si>
  <si>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</si>
  <si>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</si>
  <si>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</si>
  <si>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</si>
  <si>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</si>
  <si>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</si>
  <si>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</si>
  <si>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</si>
  <si>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</si>
  <si>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</si>
  <si>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</si>
  <si>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</si>
  <si>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</si>
  <si>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</si>
  <si>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</si>
  <si>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</si>
  <si>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</si>
  <si>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</si>
  <si>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</si>
  <si>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</si>
  <si>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</si>
  <si>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</si>
  <si>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</si>
  <si>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</si>
  <si>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</si>
  <si>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</si>
  <si>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</si>
  <si>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</si>
  <si>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</si>
  <si>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</si>
  <si>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</si>
  <si>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</si>
  <si>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</si>
  <si>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</si>
  <si>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</si>
  <si>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</si>
  <si>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</si>
  <si>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</si>
  <si>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</si>
  <si>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</si>
  <si>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</si>
  <si>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</si>
  <si>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</si>
  <si>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</si>
  <si>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</si>
  <si>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</si>
  <si>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</si>
  <si>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</si>
  <si>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</si>
  <si>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</si>
  <si>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</si>
  <si>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</si>
  <si>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</si>
  <si>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</si>
  <si>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</si>
  <si>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</si>
  <si>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</si>
  <si>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</si>
  <si>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</si>
  <si>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</si>
  <si>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</si>
  <si>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</si>
  <si>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</si>
  <si>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</si>
  <si>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</si>
  <si>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</si>
  <si>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</si>
  <si>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</si>
  <si>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</si>
  <si>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</si>
  <si>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</si>
  <si>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</si>
  <si>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</si>
  <si>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</si>
  <si>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</si>
  <si>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</si>
  <si>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</si>
  <si>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</si>
  <si>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</si>
  <si>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</si>
  <si>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</si>
  <si>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</si>
  <si>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</si>
  <si>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</si>
  <si>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</si>
  <si>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</si>
  <si>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</si>
  <si>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</si>
  <si>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</si>
  <si>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</si>
  <si>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</si>
  <si>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</si>
  <si>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</si>
  <si>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</si>
  <si>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</si>
  <si>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</si>
  <si>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</si>
  <si>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</si>
  <si>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</si>
  <si>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</si>
  <si>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</si>
  <si>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</si>
  <si>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</si>
  <si>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</si>
  <si>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</si>
  <si>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</si>
  <si>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</si>
  <si>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</si>
  <si>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</si>
  <si>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</si>
  <si>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</si>
  <si>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</si>
  <si>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</si>
  <si>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</si>
  <si>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</si>
  <si>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</si>
  <si>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</si>
  <si>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</si>
  <si>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</si>
  <si>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</si>
  <si>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</si>
  <si>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</si>
  <si>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</si>
  <si>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</si>
  <si>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</si>
  <si>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</si>
  <si>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</si>
  <si>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</si>
  <si>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</si>
  <si>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</si>
  <si>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</si>
  <si>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</si>
  <si>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</si>
  <si>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</si>
  <si>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</si>
  <si>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</si>
  <si>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</si>
  <si>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</si>
  <si>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</si>
  <si>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</si>
  <si>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</si>
  <si>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</si>
  <si>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</si>
  <si>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</si>
  <si>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</si>
  <si>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</si>
  <si>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</si>
  <si>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</si>
  <si>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</si>
  <si>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</si>
  <si>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</si>
  <si>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</si>
  <si>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</si>
  <si>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</si>
  <si>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</si>
  <si>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</si>
  <si>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</si>
  <si>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</si>
  <si>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</si>
  <si>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</si>
  <si>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</si>
  <si>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</si>
  <si>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</si>
  <si>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</si>
  <si>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</si>
  <si>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</si>
  <si>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</si>
  <si>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</si>
  <si>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</si>
  <si>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</si>
  <si>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</si>
  <si>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</si>
  <si>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</si>
  <si>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</si>
  <si>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</si>
  <si>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</si>
  <si>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</si>
  <si>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</si>
  <si>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</si>
  <si>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</si>
  <si>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</si>
  <si>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</si>
  <si>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</si>
  <si>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</si>
  <si>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</si>
  <si>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</si>
  <si>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</si>
  <si>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</si>
  <si>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</si>
  <si>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</si>
  <si>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</si>
  <si>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</si>
  <si>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</si>
  <si>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</si>
  <si>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</si>
  <si>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</si>
  <si>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</si>
  <si>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</si>
  <si>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</si>
  <si>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</si>
  <si>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</si>
  <si>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</si>
  <si>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</si>
  <si>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</si>
  <si>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</si>
  <si>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</si>
  <si>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</si>
  <si>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</si>
  <si>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</si>
  <si>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</si>
  <si>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</si>
  <si>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</si>
  <si>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</si>
  <si>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</si>
  <si>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</si>
  <si>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</si>
  <si>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</si>
  <si>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</si>
  <si>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</si>
  <si>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</si>
  <si>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</si>
  <si>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</si>
  <si>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</si>
  <si>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</si>
  <si>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</si>
  <si>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</si>
  <si>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</si>
  <si>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</si>
  <si>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</si>
  <si>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</si>
  <si>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</si>
  <si>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</si>
  <si>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</si>
  <si>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</si>
  <si>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</si>
  <si>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</si>
  <si>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</si>
  <si>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</si>
  <si>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</si>
  <si>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</si>
  <si>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</si>
  <si>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</si>
  <si>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</si>
  <si>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</si>
  <si>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</si>
  <si>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</si>
  <si>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</si>
  <si>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</si>
  <si>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</si>
  <si>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</si>
  <si>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</si>
  <si>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</si>
  <si>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</si>
  <si>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</si>
  <si>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</si>
  <si>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</si>
  <si>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</si>
  <si>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</si>
  <si>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</si>
  <si>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</si>
  <si>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</si>
  <si>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</si>
  <si>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</si>
  <si>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</si>
  <si>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</si>
  <si>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</si>
  <si>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</si>
  <si>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</si>
  <si>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</si>
  <si>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</si>
  <si>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</si>
  <si>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</si>
  <si>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</si>
  <si>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</si>
  <si>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</si>
  <si>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</si>
  <si>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</si>
  <si>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</si>
  <si>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</si>
  <si>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</si>
  <si>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</si>
  <si>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</si>
  <si>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</si>
  <si>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</si>
  <si>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</si>
  <si>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</si>
  <si>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</si>
  <si>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</si>
  <si>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</si>
  <si>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</si>
  <si>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</si>
  <si>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</si>
  <si>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</si>
  <si>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</si>
  <si>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</si>
  <si>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</si>
  <si>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</si>
  <si>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</si>
  <si>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</si>
  <si>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</si>
  <si>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</si>
  <si>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</si>
  <si>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</si>
  <si>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</si>
  <si>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</si>
  <si>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</si>
  <si>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</si>
  <si>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</si>
  <si>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</si>
  <si>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</si>
  <si>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</si>
  <si>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</si>
  <si>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</si>
  <si>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</si>
  <si>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</si>
  <si>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</si>
  <si>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</si>
  <si>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</si>
  <si>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</si>
  <si>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</si>
  <si>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</si>
  <si>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</si>
  <si>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</si>
  <si>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</si>
  <si>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</si>
  <si>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</si>
  <si>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</si>
  <si>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</si>
  <si>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</si>
  <si>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</si>
  <si>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</si>
  <si>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</si>
  <si>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</si>
  <si>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</si>
  <si>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</si>
  <si>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</si>
  <si>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</si>
  <si>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</si>
  <si>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</si>
  <si>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</si>
  <si>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</si>
  <si>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</si>
  <si>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</si>
  <si>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</si>
  <si>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</si>
  <si>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</si>
  <si>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</si>
  <si>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</si>
  <si>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</si>
  <si>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</si>
  <si>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</si>
  <si>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</si>
  <si>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</si>
  <si>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</si>
  <si>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</si>
  <si>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</si>
  <si>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</si>
  <si>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</si>
  <si>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</si>
  <si>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</si>
  <si>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</si>
  <si>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</si>
  <si>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</si>
  <si>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</si>
  <si>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</si>
  <si>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</si>
  <si>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</si>
  <si>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</si>
  <si>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</si>
  <si>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</si>
  <si>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</si>
  <si>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</si>
  <si>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</si>
  <si>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</si>
  <si>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</si>
  <si>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</si>
  <si>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</si>
  <si>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</si>
  <si>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</si>
  <si>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</si>
  <si>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</si>
  <si>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</si>
  <si>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</si>
  <si>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</si>
  <si>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</si>
  <si>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</si>
  <si>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</si>
  <si>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</si>
  <si>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</si>
  <si>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</si>
  <si>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</si>
  <si>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</si>
  <si>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</si>
  <si>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</si>
  <si>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</si>
  <si>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</si>
  <si>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</si>
  <si>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</si>
  <si>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</si>
  <si>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</si>
  <si>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</si>
  <si>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</si>
  <si>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</si>
  <si>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</si>
  <si>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</si>
  <si>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</si>
  <si>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</si>
  <si>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</si>
  <si>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</si>
  <si>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</si>
  <si>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</si>
  <si>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</si>
  <si>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</si>
  <si>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</si>
  <si>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</si>
  <si>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</si>
  <si>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</si>
  <si>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</si>
  <si>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</si>
  <si>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</si>
  <si>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</si>
  <si>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</si>
  <si>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</si>
  <si>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</si>
  <si>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</si>
  <si>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</si>
  <si>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</si>
  <si>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</si>
  <si>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</si>
  <si>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</si>
  <si>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</si>
  <si>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</si>
  <si>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</si>
  <si>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</si>
  <si>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</si>
  <si>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</si>
  <si>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</si>
  <si>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</si>
  <si>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</si>
  <si>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</si>
  <si>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</si>
  <si>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</si>
  <si>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</si>
  <si>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</si>
  <si>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</si>
  <si>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</si>
  <si>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</si>
  <si>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</si>
  <si>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</si>
  <si>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</si>
  <si>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</si>
  <si>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</si>
  <si>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</si>
  <si>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</si>
  <si>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</si>
  <si>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</si>
  <si>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</si>
  <si>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</si>
  <si>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</si>
  <si>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</si>
  <si>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</si>
  <si>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</si>
  <si>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</si>
  <si>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</si>
  <si>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</si>
  <si>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</si>
  <si>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</si>
  <si>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</si>
  <si>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</si>
  <si>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</si>
  <si>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</si>
  <si>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</si>
  <si>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</si>
  <si>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</si>
  <si>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</si>
  <si>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</si>
  <si>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</si>
  <si>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</si>
  <si>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</si>
  <si>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</si>
  <si>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</si>
  <si>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</si>
  <si>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</si>
  <si>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</si>
  <si>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</si>
  <si>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</si>
  <si>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</si>
  <si>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</si>
  <si>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</si>
  <si>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</si>
  <si>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</si>
  <si>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</si>
  <si>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</si>
  <si>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</si>
  <si>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</si>
  <si>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</si>
  <si>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</si>
  <si>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</si>
  <si>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</si>
  <si>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</si>
  <si>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</si>
  <si>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</si>
  <si>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</si>
  <si>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</si>
  <si>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</si>
  <si>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</si>
  <si>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</si>
  <si>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</si>
  <si>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</si>
  <si>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</si>
  <si>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</si>
  <si>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</si>
  <si>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</si>
  <si>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</si>
  <si>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</si>
  <si>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</si>
  <si>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</si>
  <si>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</si>
  <si>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</si>
  <si>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</si>
  <si>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</si>
  <si>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</si>
  <si>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</si>
  <si>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</si>
  <si>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</si>
  <si>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</si>
  <si>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</si>
  <si>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</si>
  <si>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</si>
  <si>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</si>
  <si>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</si>
  <si>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</si>
  <si>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</si>
  <si>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</si>
  <si>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</si>
  <si>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</si>
  <si>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</si>
  <si>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</si>
  <si>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</si>
  <si>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</si>
  <si>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</si>
  <si>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</si>
  <si>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</si>
  <si>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</si>
  <si>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</si>
  <si>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</si>
  <si>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</si>
  <si>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</si>
  <si>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</si>
  <si>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</si>
  <si>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</si>
  <si>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</si>
  <si>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</si>
  <si>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</si>
  <si>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</si>
  <si>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</si>
  <si>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</si>
  <si>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</si>
  <si>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</si>
  <si>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</si>
  <si>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</si>
  <si>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</si>
  <si>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</si>
  <si>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</si>
  <si>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</si>
  <si>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</si>
  <si>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</si>
  <si>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</si>
  <si>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</si>
  <si>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</si>
  <si>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</si>
  <si>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</si>
  <si>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</si>
  <si>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</si>
  <si>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</si>
  <si>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</si>
  <si>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</si>
  <si>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</si>
  <si>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</si>
  <si>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</si>
  <si>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</si>
  <si>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</si>
  <si>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</si>
  <si>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</si>
  <si>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</si>
  <si>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</si>
  <si>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</si>
  <si>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</si>
  <si>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</si>
  <si>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</si>
  <si>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</si>
  <si>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</si>
  <si>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</si>
  <si>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</si>
  <si>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</si>
  <si>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</si>
  <si>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</si>
  <si>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</si>
  <si>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</si>
  <si>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</si>
  <si>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</si>
  <si>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</si>
  <si>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</si>
  <si>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</si>
  <si>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</si>
  <si>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</si>
  <si>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</si>
  <si>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</si>
  <si>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</si>
  <si>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</si>
  <si>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</si>
  <si>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</si>
  <si>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</si>
  <si>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</si>
  <si>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</si>
  <si>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</si>
  <si>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</si>
  <si>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</si>
  <si>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</si>
  <si>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</si>
  <si>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</si>
  <si>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</si>
  <si>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</si>
  <si>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</si>
  <si>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</si>
  <si>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</si>
  <si>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</si>
  <si>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</si>
  <si>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</si>
  <si>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</si>
  <si>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</si>
  <si>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</si>
  <si>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</si>
  <si>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</si>
  <si>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</si>
  <si>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</si>
  <si>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</si>
  <si>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</si>
  <si>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</si>
  <si>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</si>
  <si>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</si>
  <si>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</si>
  <si>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</si>
  <si>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</si>
  <si>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</si>
  <si>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</si>
  <si>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</si>
  <si>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</si>
  <si>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</si>
  <si>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</si>
  <si>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</si>
  <si>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</si>
  <si>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</si>
  <si>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</si>
  <si>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</si>
  <si>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</si>
  <si>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</si>
  <si>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</si>
  <si>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</si>
  <si>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</si>
  <si>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</si>
  <si>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</si>
  <si>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</si>
  <si>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</si>
  <si>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</si>
  <si>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</si>
  <si>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</si>
  <si>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</si>
  <si>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</si>
  <si>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</si>
  <si>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</si>
  <si>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</si>
  <si>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</si>
  <si>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</si>
  <si>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</si>
  <si>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</si>
  <si>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</si>
  <si>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</si>
  <si>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</si>
  <si>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</si>
  <si>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</si>
  <si>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</si>
  <si>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</si>
  <si>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</si>
  <si>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</si>
  <si>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</si>
  <si>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</si>
  <si>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</si>
  <si>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</si>
  <si>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</si>
  <si>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</si>
  <si>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</si>
  <si>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</si>
  <si>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</si>
  <si>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</si>
  <si>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</si>
  <si>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</si>
  <si>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</si>
  <si>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</si>
  <si>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</si>
  <si>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</si>
  <si>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</si>
  <si>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</si>
  <si>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</si>
  <si>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</si>
  <si>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</si>
  <si>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</si>
  <si>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</si>
  <si>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</si>
  <si>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</si>
  <si>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</si>
  <si>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</si>
  <si>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</si>
  <si>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</si>
  <si>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</si>
  <si>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</si>
  <si>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</si>
  <si>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</si>
  <si>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</si>
  <si>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</si>
  <si>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</si>
  <si>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</si>
  <si>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</si>
  <si>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</si>
  <si>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</si>
  <si>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</si>
  <si>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</si>
  <si>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</si>
  <si>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</si>
  <si>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</si>
  <si>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</si>
  <si>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</si>
  <si>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</si>
  <si>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</si>
  <si>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</si>
  <si>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</si>
  <si>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</si>
  <si>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</si>
  <si>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</si>
  <si>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</si>
  <si>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</si>
  <si>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</si>
  <si>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</si>
  <si>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</si>
  <si>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</si>
  <si>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</si>
  <si>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</si>
  <si>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</si>
  <si>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</si>
  <si>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</si>
  <si>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</si>
  <si>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</si>
  <si>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</si>
  <si>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</si>
  <si>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</si>
  <si>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</si>
  <si>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</si>
  <si>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</si>
  <si>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</si>
  <si>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</si>
  <si>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</si>
  <si>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</si>
  <si>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</si>
  <si>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</si>
  <si>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</si>
  <si>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</si>
  <si>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</si>
  <si>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</si>
  <si>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</si>
  <si>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</si>
  <si>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</si>
  <si>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</si>
  <si>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</si>
  <si>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</si>
  <si>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</si>
  <si>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</si>
  <si>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</si>
  <si>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</si>
  <si>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</si>
  <si>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</si>
  <si>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</si>
  <si>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</si>
  <si>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</si>
  <si>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</si>
  <si>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</si>
  <si>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</si>
  <si>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</si>
  <si>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</si>
  <si>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</si>
  <si>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</si>
  <si>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</si>
  <si>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</si>
  <si>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</si>
  <si>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</si>
  <si>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</si>
  <si>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</si>
  <si>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</si>
  <si>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</si>
  <si>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</si>
  <si>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</si>
  <si>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</si>
  <si>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</si>
  <si>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</si>
  <si>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</si>
  <si>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</si>
  <si>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</si>
  <si>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</si>
  <si>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</si>
  <si>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</si>
  <si>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</si>
  <si>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</si>
  <si>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</si>
  <si>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</si>
  <si>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</si>
  <si>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</si>
  <si>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</si>
  <si>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</si>
  <si>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</si>
  <si>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</si>
  <si>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</si>
  <si>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</si>
  <si>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</si>
  <si>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</si>
  <si>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</si>
  <si>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</si>
  <si>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</si>
  <si>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</si>
  <si>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</si>
  <si>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</si>
  <si>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</si>
  <si>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</si>
  <si>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</si>
  <si>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</si>
  <si>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</si>
  <si>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</si>
  <si>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</si>
  <si>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</si>
  <si>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</si>
  <si>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</si>
  <si>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</si>
  <si>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</si>
  <si>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</si>
  <si>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</si>
  <si>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</si>
  <si>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</si>
  <si>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</si>
  <si>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</si>
  <si>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</si>
  <si>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</si>
  <si>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</si>
  <si>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</si>
  <si>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</si>
  <si>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</si>
  <si>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</si>
  <si>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</si>
  <si>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</si>
  <si>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</si>
  <si>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</si>
  <si>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</si>
  <si>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</si>
  <si>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</si>
  <si>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</si>
  <si>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</si>
  <si>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</si>
  <si>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</si>
  <si>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</si>
  <si>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</si>
  <si>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</si>
  <si>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</si>
  <si>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</si>
  <si>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</si>
  <si>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</si>
  <si>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</si>
  <si>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</si>
  <si>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</si>
  <si>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</si>
  <si>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</si>
  <si>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</si>
  <si>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</si>
  <si>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</si>
  <si>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</si>
  <si>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</si>
  <si>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</si>
  <si>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</si>
  <si>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</si>
  <si>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</si>
  <si>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</si>
  <si>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</si>
  <si>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</si>
  <si>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</si>
  <si>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</si>
  <si>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</si>
  <si>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</si>
  <si>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</si>
  <si>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</si>
  <si>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</si>
  <si>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</si>
  <si>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</si>
  <si>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</si>
  <si>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</si>
  <si>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</si>
  <si>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</si>
  <si>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</si>
  <si>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</si>
  <si>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</si>
  <si>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</si>
  <si>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</si>
  <si>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</si>
  <si>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</si>
  <si>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</si>
  <si>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</si>
  <si>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</si>
  <si>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</si>
  <si>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</si>
  <si>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</si>
  <si>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</si>
  <si>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</si>
  <si>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</si>
  <si>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</si>
  <si>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</si>
  <si>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</si>
  <si>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</si>
  <si>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</si>
  <si>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</si>
  <si>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</si>
  <si>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</si>
  <si>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</si>
  <si>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</si>
  <si>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</si>
  <si>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</si>
  <si>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</si>
  <si>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</si>
  <si>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</si>
  <si>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</si>
  <si>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</si>
  <si>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</si>
  <si>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</si>
  <si>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</si>
  <si>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</si>
  <si>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</si>
  <si>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</si>
  <si>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</si>
  <si>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</si>
  <si>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</si>
  <si>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</si>
  <si>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</si>
  <si>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</si>
  <si>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</si>
  <si>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</si>
  <si>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</si>
  <si>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</si>
  <si>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</si>
  <si>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</si>
  <si>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</si>
  <si>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</si>
  <si>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</si>
  <si>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</si>
  <si>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</si>
  <si>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</si>
  <si>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</si>
  <si>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</si>
  <si>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</si>
  <si>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</si>
  <si>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</si>
  <si>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</si>
  <si>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</si>
  <si>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</si>
  <si>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</si>
  <si>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</si>
  <si>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</si>
  <si>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</si>
  <si>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زاگرس 100 تا 6800.1</t>
  </si>
  <si>
    <t>زاگرس 100 تا 6756.2</t>
  </si>
  <si>
    <t>29/7/1398</t>
  </si>
  <si>
    <t>وغدیر 613 تا 306.1</t>
  </si>
  <si>
    <t>وغدیر 760 تا 306.4</t>
  </si>
  <si>
    <t>1/8/1398</t>
  </si>
  <si>
    <t>واریز 50000 تومن حساب علی</t>
  </si>
  <si>
    <t>وغدیر 1500 تا 304.5</t>
  </si>
  <si>
    <t>وآوا</t>
  </si>
  <si>
    <t>وآوا 173 تا 216</t>
  </si>
  <si>
    <t>3/8/1398</t>
  </si>
  <si>
    <t>واریز 400000 تومن به حساب علی</t>
  </si>
  <si>
    <t>از ملت مریم به ملت علی 4/8/98</t>
  </si>
  <si>
    <t>4/8/1398</t>
  </si>
  <si>
    <t>زاگرس 20 تا 6430.2</t>
  </si>
  <si>
    <t>پارس 50 تا 5550.1</t>
  </si>
  <si>
    <t>زاگرس 300 تا 6513.1</t>
  </si>
  <si>
    <t>وغدیر 1500 تا 305.1</t>
  </si>
  <si>
    <t>پارس 484 تا 4317.3</t>
  </si>
  <si>
    <t>2/8/1398</t>
  </si>
  <si>
    <t>6/8/1398</t>
  </si>
  <si>
    <t>وغدیر 333 تا 304.4</t>
  </si>
  <si>
    <t>8/8/1398</t>
  </si>
  <si>
    <t>دریافت 500000 تومن حساب مریم</t>
  </si>
  <si>
    <t>زاگرس 40 تا 6680.2</t>
  </si>
  <si>
    <t>زاگرس 23 تا 6690</t>
  </si>
  <si>
    <t>اولی 5/9/1398 و دومی 12/9/1398</t>
  </si>
  <si>
    <t>طلب علی از مهدی سهام  130165 تا وغدیر</t>
  </si>
  <si>
    <t>بدهی به رضا معادل 22884 تا وغدیر و 200 دلار 12100 تومن و 1000 یورو 13700 تومنی</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</si>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</sst>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F198" zoomScale="90" zoomScaleNormal="90" workbookViewId="0">
      <selection activeCell="I229" sqref="I229"/>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5180</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5184</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5211</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5213</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5222</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5228</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5229</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5231</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5236</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5291</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5307</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5311</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5312</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5159</v>
      </c>
      <c r="Y81" s="161">
        <v>2000</v>
      </c>
      <c r="Z81" s="161">
        <v>747.2</v>
      </c>
      <c r="AA81" s="161">
        <v>242.8</v>
      </c>
      <c r="AB81" s="161">
        <f t="shared" si="20"/>
        <v>3.0774299835255357</v>
      </c>
      <c r="AC81" s="161">
        <f t="shared" si="21"/>
        <v>0.98282703687770245</v>
      </c>
      <c r="AD81" s="161"/>
      <c r="AE81" s="161">
        <v>6069</v>
      </c>
    </row>
    <row r="82" spans="1:31">
      <c r="A82" s="99" t="s">
        <v>5318</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5180</v>
      </c>
      <c r="Y83" s="271">
        <v>2510</v>
      </c>
      <c r="Z83" s="271">
        <v>740</v>
      </c>
      <c r="AA83" s="271">
        <v>269.5</v>
      </c>
      <c r="AB83" s="271">
        <f>Z83/AA83</f>
        <v>2.74582560296846</v>
      </c>
      <c r="AC83" s="271">
        <f>AB83/$X$75</f>
        <v>0.87692381486996362</v>
      </c>
      <c r="AD83" s="271" t="s">
        <v>5168</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5184</v>
      </c>
      <c r="Y84" s="271">
        <v>1821</v>
      </c>
      <c r="Z84" s="271">
        <v>7506</v>
      </c>
      <c r="AA84" s="271">
        <v>2710</v>
      </c>
      <c r="AB84" s="271">
        <f>Z84/AA84</f>
        <v>2.7697416974169742</v>
      </c>
      <c r="AC84" s="271">
        <f>AB84/$X$75</f>
        <v>0.88456180642991866</v>
      </c>
      <c r="AD84" s="271" t="s">
        <v>5168</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5217</v>
      </c>
      <c r="Y85" s="161">
        <v>697</v>
      </c>
      <c r="Z85" s="161">
        <v>778.5</v>
      </c>
      <c r="AA85" s="161">
        <v>275.10000000000002</v>
      </c>
      <c r="AB85" s="161">
        <f>Z85/AA85</f>
        <v>2.8298800436205016</v>
      </c>
      <c r="AC85" s="161">
        <f>AB85/$X$75</f>
        <v>0.90376795991459558</v>
      </c>
      <c r="AD85" s="161" t="s">
        <v>5168</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5218</v>
      </c>
      <c r="Y86" s="161">
        <v>572</v>
      </c>
      <c r="Z86" s="161">
        <v>7914</v>
      </c>
      <c r="AA86" s="161">
        <v>2845</v>
      </c>
      <c r="AB86" s="161">
        <f t="shared" ref="AB86:AB97" si="22">Z86/AA86</f>
        <v>2.7817223198594023</v>
      </c>
      <c r="AC86" s="161">
        <f t="shared" ref="AC86:AC97" si="23">AB86/$X$75</f>
        <v>0.88838801197093076</v>
      </c>
      <c r="AD86" s="161" t="s">
        <v>5168</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5147</v>
      </c>
      <c r="Y87" s="152">
        <v>3676</v>
      </c>
      <c r="Z87" s="161">
        <v>782.4</v>
      </c>
      <c r="AA87" s="152">
        <v>291.5</v>
      </c>
      <c r="AB87" s="152">
        <f t="shared" si="22"/>
        <v>2.6840480274442537</v>
      </c>
      <c r="AC87" s="152">
        <f t="shared" si="23"/>
        <v>0.8571941469902784</v>
      </c>
      <c r="AD87" s="152" t="s">
        <v>5168</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5229</v>
      </c>
      <c r="Y88" s="276">
        <v>371</v>
      </c>
      <c r="Z88" s="276">
        <v>7620</v>
      </c>
      <c r="AA88" s="276">
        <v>2868</v>
      </c>
      <c r="AB88" s="276">
        <f t="shared" si="22"/>
        <v>2.6569037656903767</v>
      </c>
      <c r="AC88" s="276">
        <f t="shared" si="23"/>
        <v>0.84852518799182441</v>
      </c>
      <c r="AD88" s="276" t="s">
        <v>5168</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5168</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5241</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5286</v>
      </c>
      <c r="Y92" s="87">
        <v>2000</v>
      </c>
      <c r="Z92" s="87">
        <v>8125</v>
      </c>
      <c r="AA92" s="87">
        <v>3039</v>
      </c>
      <c r="AB92" s="87">
        <f t="shared" ref="AB92" si="34">Z92/AA92</f>
        <v>2.6735768344850279</v>
      </c>
      <c r="AC92" s="87">
        <f t="shared" ref="AC92" si="35">AB92/$X$75</f>
        <v>0.85385000216690843</v>
      </c>
      <c r="AD92" s="87" t="s">
        <v>5168</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8100</v>
      </c>
      <c r="AA93" s="20">
        <v>3140</v>
      </c>
      <c r="AB93" s="20">
        <f t="shared" ref="AB93" si="36">Z93/AA93</f>
        <v>2.5796178343949046</v>
      </c>
      <c r="AC93" s="20">
        <f t="shared" ref="AC93" si="37">AB93/$X$75</f>
        <v>0.82384267587811466</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0.84104412736115441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1.1889982552254217</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1.0174021586192601</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1.0364236123806156</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0.96485644292013728</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5143</v>
      </c>
      <c r="L167" s="252">
        <v>809456290</v>
      </c>
      <c r="M167" s="252">
        <v>509313372</v>
      </c>
      <c r="N167" s="251">
        <f t="shared" si="45"/>
        <v>1318769662</v>
      </c>
      <c r="O167" s="251">
        <f>M167-M166-500000</f>
        <v>-11928523</v>
      </c>
      <c r="P167" s="251">
        <f>N167-N166-500000</f>
        <v>-34396074</v>
      </c>
      <c r="Q167" s="229">
        <v>500000</v>
      </c>
    </row>
    <row r="168" spans="9:18">
      <c r="I168" s="250" t="s">
        <v>5144</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5145</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5148</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5156</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5157</v>
      </c>
      <c r="L173" s="84">
        <v>802082154</v>
      </c>
      <c r="M173" s="84">
        <v>508611485</v>
      </c>
      <c r="N173" s="113">
        <f t="shared" si="45"/>
        <v>1310693639</v>
      </c>
      <c r="O173" s="113">
        <f t="shared" si="49"/>
        <v>-117320</v>
      </c>
      <c r="P173" s="113">
        <f t="shared" si="50"/>
        <v>-4323075</v>
      </c>
      <c r="Q173" s="229">
        <v>0</v>
      </c>
      <c r="R173" t="s">
        <v>25</v>
      </c>
    </row>
    <row r="174" spans="9:18">
      <c r="I174" s="250" t="s">
        <v>5160</v>
      </c>
      <c r="J174" s="251">
        <f>L174-L173-65000</f>
        <v>5888390</v>
      </c>
      <c r="K174" s="250" t="s">
        <v>5159</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5169</v>
      </c>
      <c r="J176" s="248">
        <f>L176-L175+305807</f>
        <v>8668560</v>
      </c>
      <c r="K176" s="216" t="s">
        <v>5166</v>
      </c>
      <c r="L176" s="249">
        <v>816745622</v>
      </c>
      <c r="M176" s="249">
        <v>516127148</v>
      </c>
      <c r="N176" s="248">
        <f t="shared" si="45"/>
        <v>1332872770</v>
      </c>
      <c r="O176" s="248">
        <f>M176-M175+305807</f>
        <v>3691986</v>
      </c>
      <c r="P176" s="248">
        <f>N176-N175+611614</f>
        <v>12360546</v>
      </c>
      <c r="Q176" s="229">
        <v>-611614</v>
      </c>
    </row>
    <row r="177" spans="9:17">
      <c r="I177" s="152" t="s">
        <v>5170</v>
      </c>
      <c r="J177" s="248">
        <f>L177-L176+63348</f>
        <v>4837676</v>
      </c>
      <c r="K177" s="216" t="s">
        <v>5167</v>
      </c>
      <c r="L177" s="249">
        <v>821519950</v>
      </c>
      <c r="M177" s="249">
        <v>505943649</v>
      </c>
      <c r="N177" s="248">
        <f t="shared" si="45"/>
        <v>1327463599</v>
      </c>
      <c r="O177" s="248">
        <f>M177-M176+13076601</f>
        <v>2893102</v>
      </c>
      <c r="P177" s="248">
        <f>N177-N176+13139949</f>
        <v>7730778</v>
      </c>
      <c r="Q177" s="229">
        <v>-13139949</v>
      </c>
    </row>
    <row r="178" spans="9:17">
      <c r="I178" s="272" t="s">
        <v>5173</v>
      </c>
      <c r="J178" s="273">
        <f>L178-L177-50000</f>
        <v>30757186</v>
      </c>
      <c r="K178" s="272" t="s">
        <v>5172</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5180</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5184</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5186</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5191</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5193</v>
      </c>
      <c r="L184" s="84">
        <v>904707054</v>
      </c>
      <c r="M184" s="84">
        <v>557394961</v>
      </c>
      <c r="N184" s="113">
        <f t="shared" si="45"/>
        <v>1462102015</v>
      </c>
      <c r="O184" s="113">
        <f t="shared" si="49"/>
        <v>-6711498</v>
      </c>
      <c r="P184" s="113">
        <f t="shared" si="50"/>
        <v>-18369320</v>
      </c>
      <c r="Q184" s="229">
        <v>0</v>
      </c>
    </row>
    <row r="185" spans="9:17">
      <c r="I185" s="189" t="s">
        <v>5199</v>
      </c>
      <c r="J185" s="188">
        <f>L185-L184-200000</f>
        <v>15983884</v>
      </c>
      <c r="K185" s="189" t="s">
        <v>5195</v>
      </c>
      <c r="L185" s="238">
        <v>920890938</v>
      </c>
      <c r="M185" s="238">
        <v>566042468</v>
      </c>
      <c r="N185" s="188">
        <f t="shared" si="45"/>
        <v>1486933406</v>
      </c>
      <c r="O185" s="188">
        <f t="shared" si="49"/>
        <v>8647507</v>
      </c>
      <c r="P185" s="188">
        <f>N185-N184-200000</f>
        <v>24631391</v>
      </c>
      <c r="Q185" s="229">
        <v>200000</v>
      </c>
    </row>
    <row r="186" spans="9:17">
      <c r="I186" s="189" t="s">
        <v>5207</v>
      </c>
      <c r="J186" s="188">
        <f>L186-L185-30000</f>
        <v>1392982</v>
      </c>
      <c r="K186" s="189" t="s">
        <v>5200</v>
      </c>
      <c r="L186" s="238">
        <v>922313920</v>
      </c>
      <c r="M186" s="238">
        <v>567221668</v>
      </c>
      <c r="N186" s="188">
        <f t="shared" si="45"/>
        <v>1489535588</v>
      </c>
      <c r="O186" s="188">
        <f t="shared" si="49"/>
        <v>1179200</v>
      </c>
      <c r="P186" s="188">
        <f>N186-N185-30000</f>
        <v>2572182</v>
      </c>
      <c r="Q186" s="229">
        <v>30000</v>
      </c>
    </row>
    <row r="187" spans="9:17">
      <c r="I187" s="213" t="s">
        <v>5212</v>
      </c>
      <c r="J187" s="113">
        <f t="shared" si="46"/>
        <v>-1865454</v>
      </c>
      <c r="K187" s="213" t="s">
        <v>5211</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5213</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5147</v>
      </c>
      <c r="L189" s="84">
        <v>951067529</v>
      </c>
      <c r="M189" s="84">
        <v>596275041</v>
      </c>
      <c r="N189" s="117">
        <f t="shared" si="45"/>
        <v>1547342570</v>
      </c>
      <c r="O189" s="113">
        <f t="shared" si="49"/>
        <v>8603623</v>
      </c>
      <c r="P189" s="113">
        <f t="shared" si="50"/>
        <v>26700407</v>
      </c>
      <c r="Q189" s="229">
        <v>0</v>
      </c>
    </row>
    <row r="190" spans="9:17" ht="30">
      <c r="I190" s="270" t="s">
        <v>5223</v>
      </c>
      <c r="J190" s="188">
        <f>L190-L189+4000000</f>
        <v>-1393565</v>
      </c>
      <c r="K190" s="189" t="s">
        <v>5222</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5228</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5229</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5231</v>
      </c>
      <c r="L194" s="254">
        <v>901275329</v>
      </c>
      <c r="M194" s="254">
        <v>583098793</v>
      </c>
      <c r="N194" s="117">
        <f>L194+M194</f>
        <v>1484374122</v>
      </c>
      <c r="O194" s="117">
        <f t="shared" si="49"/>
        <v>-3486217</v>
      </c>
      <c r="P194" s="117">
        <f>N194-N193</f>
        <v>-18861608</v>
      </c>
      <c r="Q194" s="229">
        <v>0</v>
      </c>
    </row>
    <row r="195" spans="9:17">
      <c r="I195" s="189" t="s">
        <v>5239</v>
      </c>
      <c r="J195" s="188">
        <f>L195-L194-150000</f>
        <v>17593478</v>
      </c>
      <c r="K195" s="189" t="s">
        <v>5236</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5240</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5241</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5247</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5275</v>
      </c>
      <c r="L199" s="84">
        <v>992076311</v>
      </c>
      <c r="M199" s="84">
        <v>638214788</v>
      </c>
      <c r="N199" s="117">
        <f t="shared" si="45"/>
        <v>1630291099</v>
      </c>
      <c r="O199" s="113">
        <f t="shared" si="49"/>
        <v>470124</v>
      </c>
      <c r="P199" s="113">
        <f t="shared" si="50"/>
        <v>12547575</v>
      </c>
      <c r="Q199" s="229">
        <v>0</v>
      </c>
    </row>
    <row r="200" spans="9:17">
      <c r="I200" s="189" t="s">
        <v>5285</v>
      </c>
      <c r="J200" s="188">
        <f>L200-L199-400000</f>
        <v>-7612896</v>
      </c>
      <c r="K200" s="189" t="s">
        <v>5280</v>
      </c>
      <c r="L200" s="238">
        <v>984863415</v>
      </c>
      <c r="M200" s="238">
        <v>632226484</v>
      </c>
      <c r="N200" s="188">
        <f t="shared" si="45"/>
        <v>1617089899</v>
      </c>
      <c r="O200" s="188">
        <f t="shared" si="49"/>
        <v>-5988304</v>
      </c>
      <c r="P200" s="188">
        <f>N200-N199-400000</f>
        <v>-13601200</v>
      </c>
      <c r="Q200" s="229">
        <v>400000</v>
      </c>
    </row>
    <row r="201" spans="9:17">
      <c r="I201" s="216" t="s">
        <v>5288</v>
      </c>
      <c r="J201" s="248">
        <f>L201-L200+100000</f>
        <v>12509920</v>
      </c>
      <c r="K201" s="216" t="s">
        <v>5286</v>
      </c>
      <c r="L201" s="249">
        <v>997273335</v>
      </c>
      <c r="M201" s="249">
        <v>639479822</v>
      </c>
      <c r="N201" s="248">
        <f t="shared" si="45"/>
        <v>1636753157</v>
      </c>
      <c r="O201" s="248">
        <f t="shared" si="49"/>
        <v>7253338</v>
      </c>
      <c r="P201" s="248">
        <f>N201-N200+100000</f>
        <v>19763258</v>
      </c>
      <c r="Q201" s="229">
        <v>-100000</v>
      </c>
    </row>
    <row r="202" spans="9:17">
      <c r="I202" s="189" t="s">
        <v>5293</v>
      </c>
      <c r="J202" s="188">
        <f>L202-L201-10000000</f>
        <v>-2265988</v>
      </c>
      <c r="K202" s="189" t="s">
        <v>5291</v>
      </c>
      <c r="L202" s="238">
        <v>1005007347</v>
      </c>
      <c r="M202" s="238">
        <v>636084938</v>
      </c>
      <c r="N202" s="188">
        <f t="shared" si="45"/>
        <v>1641092285</v>
      </c>
      <c r="O202" s="188">
        <f t="shared" si="49"/>
        <v>-3394884</v>
      </c>
      <c r="P202" s="188">
        <f>N202-N201-10000000</f>
        <v>-5660872</v>
      </c>
      <c r="Q202" s="229">
        <v>10000000</v>
      </c>
    </row>
    <row r="203" spans="9:17">
      <c r="I203" s="216" t="s">
        <v>5303</v>
      </c>
      <c r="J203" s="248">
        <f>L203-L202+400000</f>
        <v>8061336</v>
      </c>
      <c r="K203" s="216" t="s">
        <v>5300</v>
      </c>
      <c r="L203" s="249">
        <v>1012668683</v>
      </c>
      <c r="M203" s="249">
        <v>641491326</v>
      </c>
      <c r="N203" s="220">
        <f t="shared" si="45"/>
        <v>1654160009</v>
      </c>
      <c r="O203" s="248">
        <f t="shared" si="49"/>
        <v>5406388</v>
      </c>
      <c r="P203" s="248">
        <f>N203-N202+400000</f>
        <v>13467724</v>
      </c>
      <c r="Q203" s="229">
        <v>-400000</v>
      </c>
    </row>
    <row r="204" spans="9:17">
      <c r="I204" s="216" t="s">
        <v>5304</v>
      </c>
      <c r="J204" s="248">
        <f t="shared" ref="J204:J243"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5307</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5311</v>
      </c>
      <c r="L206" s="84">
        <v>991102717</v>
      </c>
      <c r="M206" s="84">
        <v>623731041</v>
      </c>
      <c r="N206" s="113">
        <f t="shared" si="52"/>
        <v>1614833758</v>
      </c>
      <c r="O206" s="113">
        <f t="shared" si="53"/>
        <v>-2790917</v>
      </c>
      <c r="P206" s="113">
        <f t="shared" si="54"/>
        <v>-6391417</v>
      </c>
      <c r="Q206" s="229">
        <v>0</v>
      </c>
    </row>
    <row r="207" spans="9:17">
      <c r="I207" s="189" t="s">
        <v>5317</v>
      </c>
      <c r="J207" s="188">
        <f>L207-L206-1300000</f>
        <v>-17889835</v>
      </c>
      <c r="K207" s="189" t="s">
        <v>5312</v>
      </c>
      <c r="L207" s="238">
        <v>974512882</v>
      </c>
      <c r="M207" s="238">
        <v>611227725</v>
      </c>
      <c r="N207" s="188">
        <f t="shared" si="52"/>
        <v>1585740607</v>
      </c>
      <c r="O207" s="188">
        <f>M207-M206-230000</f>
        <v>-12733316</v>
      </c>
      <c r="P207" s="188">
        <f>N207-N206-1530000</f>
        <v>-30623151</v>
      </c>
      <c r="Q207" s="229">
        <v>1530000</v>
      </c>
    </row>
    <row r="208" spans="9:17">
      <c r="I208" s="216" t="s">
        <v>5319</v>
      </c>
      <c r="J208" s="248">
        <f>L208-L207-230000</f>
        <v>26666770</v>
      </c>
      <c r="K208" s="216" t="s">
        <v>5318</v>
      </c>
      <c r="L208" s="249">
        <v>1001409652</v>
      </c>
      <c r="M208" s="249">
        <v>627313031</v>
      </c>
      <c r="N208" s="248">
        <f t="shared" si="52"/>
        <v>1628722683</v>
      </c>
      <c r="O208" s="248">
        <f>M208-M207+880000</f>
        <v>16965306</v>
      </c>
      <c r="P208" s="248">
        <f t="shared" si="54"/>
        <v>42982076</v>
      </c>
      <c r="Q208" s="229">
        <v>-650000</v>
      </c>
    </row>
    <row r="209" spans="9:19">
      <c r="I209" s="189" t="s">
        <v>5320</v>
      </c>
      <c r="J209" s="188">
        <f>L209-L208-880000</f>
        <v>38363123</v>
      </c>
      <c r="K209" s="189" t="s">
        <v>5321</v>
      </c>
      <c r="L209" s="238">
        <v>1040652775</v>
      </c>
      <c r="M209" s="238">
        <v>653526288</v>
      </c>
      <c r="N209" s="220">
        <f t="shared" si="52"/>
        <v>1694179063</v>
      </c>
      <c r="O209" s="188">
        <f t="shared" si="53"/>
        <v>26213257</v>
      </c>
      <c r="P209" s="188">
        <f>N209-N208-880000</f>
        <v>64576380</v>
      </c>
      <c r="Q209" s="229">
        <v>880000</v>
      </c>
    </row>
    <row r="210" spans="9:19">
      <c r="I210" s="216" t="s">
        <v>5326</v>
      </c>
      <c r="J210" s="248">
        <f>L210-L209+900000</f>
        <v>20298534</v>
      </c>
      <c r="K210" s="216" t="s">
        <v>5323</v>
      </c>
      <c r="L210" s="249">
        <v>1060051309</v>
      </c>
      <c r="M210" s="249">
        <v>663872836</v>
      </c>
      <c r="N210" s="35">
        <f t="shared" si="52"/>
        <v>1723924145</v>
      </c>
      <c r="O210" s="248">
        <f>M210-M209-200000</f>
        <v>10146548</v>
      </c>
      <c r="P210" s="248">
        <f>N210-N209+700000</f>
        <v>30445082</v>
      </c>
      <c r="Q210" s="229">
        <v>-700000</v>
      </c>
    </row>
    <row r="211" spans="9:19">
      <c r="I211" s="189" t="s">
        <v>5331</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5332</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5334</v>
      </c>
      <c r="J213" s="113">
        <f>L213-L212+800000</f>
        <v>15351721</v>
      </c>
      <c r="K213" s="213" t="s">
        <v>5335</v>
      </c>
      <c r="L213" s="84">
        <v>1017597520</v>
      </c>
      <c r="M213" s="84">
        <v>638870084</v>
      </c>
      <c r="N213" s="113">
        <f t="shared" si="52"/>
        <v>1656467604</v>
      </c>
      <c r="O213" s="113">
        <f>M213-M212+10000000</f>
        <v>14214313</v>
      </c>
      <c r="P213" s="113">
        <f>N213-N212+10800000</f>
        <v>29566034</v>
      </c>
      <c r="Q213" s="229">
        <v>-10800000</v>
      </c>
    </row>
    <row r="214" spans="9:19">
      <c r="I214" s="216" t="s">
        <v>5345</v>
      </c>
      <c r="J214" s="248">
        <f t="shared" si="51"/>
        <v>-18127600</v>
      </c>
      <c r="K214" s="216" t="s">
        <v>5340</v>
      </c>
      <c r="L214" s="249">
        <v>999469920</v>
      </c>
      <c r="M214" s="249">
        <v>621895248</v>
      </c>
      <c r="N214" s="248">
        <f t="shared" ref="N214:N243" si="55">L214+M214</f>
        <v>1621365168</v>
      </c>
      <c r="O214" s="248">
        <f>M214-M213-771000</f>
        <v>-17745836</v>
      </c>
      <c r="P214" s="248">
        <f>N214-N213-771000</f>
        <v>-35873436</v>
      </c>
      <c r="Q214" s="229">
        <v>771000</v>
      </c>
    </row>
    <row r="215" spans="9:19">
      <c r="I215" s="213"/>
      <c r="J215" s="113">
        <f t="shared" si="51"/>
        <v>11344596</v>
      </c>
      <c r="K215" s="213" t="s">
        <v>5349</v>
      </c>
      <c r="L215" s="84">
        <v>1010814516</v>
      </c>
      <c r="M215" s="84">
        <v>632227289</v>
      </c>
      <c r="N215" s="113">
        <f t="shared" si="55"/>
        <v>1643041805</v>
      </c>
      <c r="O215" s="113">
        <f t="shared" ref="O215:O243" si="56">M215-M214</f>
        <v>10332041</v>
      </c>
      <c r="P215" s="113">
        <f t="shared" ref="P215:P243"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5353</v>
      </c>
      <c r="J217" s="248">
        <f>L217-L216-50000</f>
        <v>-3947893</v>
      </c>
      <c r="K217" s="216" t="s">
        <v>5352</v>
      </c>
      <c r="L217" s="249">
        <v>1010326365</v>
      </c>
      <c r="M217" s="249">
        <v>632690003</v>
      </c>
      <c r="N217" s="248">
        <f t="shared" si="55"/>
        <v>1643016368</v>
      </c>
      <c r="O217" s="248">
        <f t="shared" si="56"/>
        <v>-2811879</v>
      </c>
      <c r="P217" s="248">
        <f>N217-N216-50000</f>
        <v>-6759772</v>
      </c>
      <c r="Q217" s="229">
        <v>50000</v>
      </c>
    </row>
    <row r="218" spans="9:19">
      <c r="I218" s="216" t="s">
        <v>5358</v>
      </c>
      <c r="J218" s="248">
        <f>L218-L217-400000</f>
        <v>-7352281</v>
      </c>
      <c r="K218" s="216" t="s">
        <v>5360</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5367</v>
      </c>
      <c r="L219" s="84">
        <v>999517682</v>
      </c>
      <c r="M219" s="84">
        <v>627640361</v>
      </c>
      <c r="N219" s="113">
        <f t="shared" si="55"/>
        <v>1627158043</v>
      </c>
      <c r="O219" s="113">
        <f t="shared" si="56"/>
        <v>-1762209</v>
      </c>
      <c r="P219" s="113">
        <f t="shared" si="57"/>
        <v>-5618611</v>
      </c>
      <c r="Q219" s="229">
        <v>0</v>
      </c>
    </row>
    <row r="220" spans="9:19">
      <c r="I220" s="189" t="s">
        <v>5370</v>
      </c>
      <c r="J220" s="188">
        <f t="shared" si="51"/>
        <v>30762624</v>
      </c>
      <c r="K220" s="189" t="s">
        <v>5369</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5310</v>
      </c>
      <c r="L221" s="84">
        <v>1013932649</v>
      </c>
      <c r="M221" s="84">
        <v>635152182</v>
      </c>
      <c r="N221" s="113">
        <f t="shared" si="55"/>
        <v>1649084831</v>
      </c>
      <c r="O221" s="113">
        <f t="shared" si="56"/>
        <v>-10386048</v>
      </c>
      <c r="P221" s="113">
        <f t="shared" si="57"/>
        <v>-26733705</v>
      </c>
      <c r="Q221" s="229">
        <v>0</v>
      </c>
    </row>
    <row r="222" spans="9:19">
      <c r="I222" s="279" t="s">
        <v>5381</v>
      </c>
      <c r="J222" s="280">
        <f>L222-L221+7000000</f>
        <v>4431891</v>
      </c>
      <c r="K222" s="279" t="s">
        <v>5382</v>
      </c>
      <c r="L222" s="281">
        <v>1011364540</v>
      </c>
      <c r="M222" s="281">
        <v>634014280</v>
      </c>
      <c r="N222" s="280">
        <f t="shared" si="55"/>
        <v>1645378820</v>
      </c>
      <c r="O222" s="280">
        <f t="shared" si="56"/>
        <v>-1137902</v>
      </c>
      <c r="P222" s="280">
        <f>N222-N221+7000000</f>
        <v>3293989</v>
      </c>
      <c r="Q222" s="229">
        <v>-7000000</v>
      </c>
    </row>
    <row r="223" spans="9:19">
      <c r="I223" s="216" t="s">
        <v>5385</v>
      </c>
      <c r="J223" s="248">
        <f t="shared" si="51"/>
        <v>-1011364540</v>
      </c>
      <c r="K223" s="216"/>
      <c r="L223" s="249"/>
      <c r="M223" s="249"/>
      <c r="N223" s="248">
        <f t="shared" si="55"/>
        <v>0</v>
      </c>
      <c r="O223" s="248">
        <f>M223-M222-300000</f>
        <v>-634314280</v>
      </c>
      <c r="P223" s="248">
        <f>N223-N222-300000</f>
        <v>-1645678820</v>
      </c>
      <c r="Q223" s="229">
        <v>300000</v>
      </c>
    </row>
    <row r="224" spans="9:19">
      <c r="I224" s="213"/>
      <c r="J224" s="113">
        <f t="shared" si="51"/>
        <v>0</v>
      </c>
      <c r="K224" s="213"/>
      <c r="L224" s="84"/>
      <c r="M224" s="84"/>
      <c r="N224" s="113">
        <f t="shared" si="55"/>
        <v>0</v>
      </c>
      <c r="O224" s="113">
        <f t="shared" si="56"/>
        <v>0</v>
      </c>
      <c r="P224" s="113">
        <f t="shared" si="57"/>
        <v>0</v>
      </c>
    </row>
    <row r="225" spans="9:19">
      <c r="I225" s="213"/>
      <c r="J225" s="113">
        <f t="shared" si="51"/>
        <v>0</v>
      </c>
      <c r="K225" s="213"/>
      <c r="L225" s="84"/>
      <c r="M225" s="84"/>
      <c r="N225" s="113">
        <f t="shared" si="55"/>
        <v>0</v>
      </c>
      <c r="O225" s="113">
        <f t="shared" si="56"/>
        <v>0</v>
      </c>
      <c r="P225" s="113">
        <f t="shared" si="57"/>
        <v>0</v>
      </c>
    </row>
    <row r="226" spans="9:19">
      <c r="I226" s="213"/>
      <c r="J226" s="113">
        <f t="shared" si="51"/>
        <v>0</v>
      </c>
      <c r="K226" s="213"/>
      <c r="L226" s="84"/>
      <c r="M226" s="84"/>
      <c r="N226" s="113">
        <f t="shared" si="55"/>
        <v>0</v>
      </c>
      <c r="O226" s="113">
        <f t="shared" si="56"/>
        <v>0</v>
      </c>
      <c r="P226" s="113">
        <f t="shared" si="57"/>
        <v>0</v>
      </c>
    </row>
    <row r="227" spans="9:19">
      <c r="I227" s="213"/>
      <c r="J227" s="113">
        <f t="shared" si="51"/>
        <v>0</v>
      </c>
      <c r="K227" s="213"/>
      <c r="L227" s="84"/>
      <c r="M227" s="84"/>
      <c r="N227" s="113">
        <f t="shared" si="55"/>
        <v>0</v>
      </c>
      <c r="O227" s="113">
        <f t="shared" si="56"/>
        <v>0</v>
      </c>
      <c r="P227" s="113">
        <f t="shared" si="57"/>
        <v>0</v>
      </c>
    </row>
    <row r="228" spans="9:19">
      <c r="I228" s="213"/>
      <c r="J228" s="113">
        <f t="shared" si="51"/>
        <v>0</v>
      </c>
      <c r="K228" s="213"/>
      <c r="L228" s="84"/>
      <c r="M228" s="84"/>
      <c r="N228" s="113">
        <f t="shared" si="55"/>
        <v>0</v>
      </c>
      <c r="O228" s="113">
        <f t="shared" si="56"/>
        <v>0</v>
      </c>
      <c r="P228" s="113">
        <f t="shared" si="57"/>
        <v>0</v>
      </c>
    </row>
    <row r="229" spans="9:19">
      <c r="I229" s="213"/>
      <c r="J229" s="113">
        <f t="shared" si="51"/>
        <v>0</v>
      </c>
      <c r="K229" s="213"/>
      <c r="L229" s="84"/>
      <c r="M229" s="84"/>
      <c r="N229" s="113">
        <f t="shared" si="55"/>
        <v>0</v>
      </c>
      <c r="O229" s="113">
        <f t="shared" si="56"/>
        <v>0</v>
      </c>
      <c r="P229" s="113">
        <f t="shared" si="57"/>
        <v>0</v>
      </c>
    </row>
    <row r="230" spans="9:19">
      <c r="I230" s="213"/>
      <c r="J230" s="113">
        <f t="shared" si="51"/>
        <v>0</v>
      </c>
      <c r="K230" s="213"/>
      <c r="L230" s="84"/>
      <c r="M230" s="84"/>
      <c r="N230" s="113">
        <f t="shared" si="55"/>
        <v>0</v>
      </c>
      <c r="O230" s="113">
        <f t="shared" si="56"/>
        <v>0</v>
      </c>
      <c r="P230" s="113">
        <f t="shared" si="57"/>
        <v>0</v>
      </c>
    </row>
    <row r="231" spans="9:19">
      <c r="I231" s="213"/>
      <c r="J231" s="113">
        <f t="shared" si="51"/>
        <v>0</v>
      </c>
      <c r="K231" s="213"/>
      <c r="L231" s="84"/>
      <c r="M231" s="84"/>
      <c r="N231" s="113">
        <f t="shared" si="55"/>
        <v>0</v>
      </c>
      <c r="O231" s="113">
        <f t="shared" si="56"/>
        <v>0</v>
      </c>
      <c r="P231" s="113">
        <f t="shared" si="57"/>
        <v>0</v>
      </c>
      <c r="S231" t="s">
        <v>25</v>
      </c>
    </row>
    <row r="232" spans="9:19">
      <c r="I232" s="213"/>
      <c r="J232" s="113">
        <f t="shared" si="51"/>
        <v>0</v>
      </c>
      <c r="K232" s="213"/>
      <c r="L232" s="84"/>
      <c r="M232" s="84"/>
      <c r="N232" s="113">
        <f t="shared" si="55"/>
        <v>0</v>
      </c>
      <c r="O232" s="113">
        <f t="shared" si="56"/>
        <v>0</v>
      </c>
      <c r="P232" s="113">
        <f t="shared" si="57"/>
        <v>0</v>
      </c>
    </row>
    <row r="233" spans="9:19">
      <c r="I233" s="213"/>
      <c r="J233" s="113">
        <f t="shared" si="51"/>
        <v>0</v>
      </c>
      <c r="K233" s="213"/>
      <c r="L233" s="84"/>
      <c r="M233" s="84"/>
      <c r="N233" s="113">
        <f t="shared" si="55"/>
        <v>0</v>
      </c>
      <c r="O233" s="113">
        <f t="shared" si="56"/>
        <v>0</v>
      </c>
      <c r="P233" s="113">
        <f t="shared" si="57"/>
        <v>0</v>
      </c>
    </row>
    <row r="234" spans="9:19">
      <c r="I234" s="213"/>
      <c r="J234" s="113">
        <f t="shared" si="51"/>
        <v>0</v>
      </c>
      <c r="K234" s="213"/>
      <c r="L234" s="84"/>
      <c r="M234" s="84"/>
      <c r="N234" s="113">
        <f t="shared" si="55"/>
        <v>0</v>
      </c>
      <c r="O234" s="113">
        <f t="shared" si="56"/>
        <v>0</v>
      </c>
      <c r="P234" s="113">
        <f t="shared" si="57"/>
        <v>0</v>
      </c>
    </row>
    <row r="235" spans="9:19">
      <c r="I235" s="213"/>
      <c r="J235" s="113">
        <f t="shared" si="51"/>
        <v>0</v>
      </c>
      <c r="K235" s="213"/>
      <c r="L235" s="84"/>
      <c r="M235" s="84"/>
      <c r="N235" s="113">
        <f t="shared" si="55"/>
        <v>0</v>
      </c>
      <c r="O235" s="113">
        <f t="shared" si="56"/>
        <v>0</v>
      </c>
      <c r="P235" s="113">
        <f t="shared" si="57"/>
        <v>0</v>
      </c>
    </row>
    <row r="236" spans="9:19">
      <c r="I236" s="213"/>
      <c r="J236" s="113">
        <f t="shared" si="51"/>
        <v>0</v>
      </c>
      <c r="K236" s="213"/>
      <c r="L236" s="84"/>
      <c r="M236" s="84"/>
      <c r="N236" s="113">
        <f t="shared" si="55"/>
        <v>0</v>
      </c>
      <c r="O236" s="113">
        <f t="shared" si="56"/>
        <v>0</v>
      </c>
      <c r="P236" s="113">
        <f t="shared" si="57"/>
        <v>0</v>
      </c>
    </row>
    <row r="237" spans="9:19">
      <c r="I237" s="213"/>
      <c r="J237" s="113">
        <f t="shared" si="51"/>
        <v>0</v>
      </c>
      <c r="K237" s="213"/>
      <c r="L237" s="84"/>
      <c r="M237" s="84"/>
      <c r="N237" s="113">
        <f t="shared" si="55"/>
        <v>0</v>
      </c>
      <c r="O237" s="113">
        <f t="shared" si="56"/>
        <v>0</v>
      </c>
      <c r="P237" s="113">
        <f t="shared" si="57"/>
        <v>0</v>
      </c>
    </row>
    <row r="238" spans="9:19">
      <c r="I238" s="213"/>
      <c r="J238" s="113">
        <f t="shared" si="51"/>
        <v>0</v>
      </c>
      <c r="K238" s="213"/>
      <c r="L238" s="84"/>
      <c r="M238" s="84"/>
      <c r="N238" s="113">
        <f t="shared" si="55"/>
        <v>0</v>
      </c>
      <c r="O238" s="113">
        <f t="shared" si="56"/>
        <v>0</v>
      </c>
      <c r="P238" s="113">
        <f t="shared" si="57"/>
        <v>0</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38" sqref="I3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5286</v>
      </c>
      <c r="I34" s="11">
        <v>257000</v>
      </c>
      <c r="J34" s="11" t="s">
        <v>567</v>
      </c>
    </row>
    <row r="35" spans="6:23">
      <c r="G35" s="11">
        <f t="shared" si="5"/>
        <v>1000</v>
      </c>
      <c r="H35" s="11" t="s">
        <v>5286</v>
      </c>
      <c r="I35" s="11">
        <v>257000</v>
      </c>
      <c r="J35" s="11" t="s">
        <v>568</v>
      </c>
    </row>
    <row r="36" spans="6:23">
      <c r="F36" t="s">
        <v>25</v>
      </c>
      <c r="G36" s="11">
        <f t="shared" si="5"/>
        <v>39000</v>
      </c>
      <c r="H36" s="11" t="s">
        <v>642</v>
      </c>
      <c r="I36" s="11">
        <v>219000</v>
      </c>
      <c r="J36" s="11" t="s">
        <v>641</v>
      </c>
      <c r="O36" s="22"/>
    </row>
    <row r="37" spans="6:23">
      <c r="G37" s="11">
        <f t="shared" si="5"/>
        <v>0</v>
      </c>
      <c r="H37" s="11" t="s">
        <v>5360</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5286</v>
      </c>
      <c r="I47" s="99">
        <v>257000</v>
      </c>
      <c r="J47" s="99" t="s">
        <v>5342</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B31" zoomScaleNormal="100" workbookViewId="0">
      <selection activeCell="P51" sqref="P51"/>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5165</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5163</v>
      </c>
      <c r="I24" s="213" t="s">
        <v>5164</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5256</v>
      </c>
      <c r="D28" s="96" t="s">
        <v>5262</v>
      </c>
      <c r="E28" t="s">
        <v>5263</v>
      </c>
      <c r="F28" t="s">
        <v>5265</v>
      </c>
      <c r="G28" t="s">
        <v>5266</v>
      </c>
      <c r="O28" s="99" t="s">
        <v>5122</v>
      </c>
      <c r="P28" s="18">
        <v>100000</v>
      </c>
      <c r="Q28" s="99">
        <v>1</v>
      </c>
      <c r="R28" s="99"/>
      <c r="S28" s="96"/>
      <c r="T28" s="96"/>
    </row>
    <row r="29" spans="1:22">
      <c r="C29" s="96" t="s">
        <v>5261</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5267</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5268</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5269</v>
      </c>
      <c r="D32" s="96">
        <v>235</v>
      </c>
      <c r="E32" s="96">
        <v>1</v>
      </c>
      <c r="F32" s="96">
        <f t="shared" ref="F32:F35" si="7">D32*E32*$D$40</f>
        <v>235000000</v>
      </c>
      <c r="G32" s="96">
        <f t="shared" si="6"/>
        <v>2679</v>
      </c>
      <c r="O32" s="99" t="s">
        <v>5145</v>
      </c>
      <c r="P32" s="18">
        <v>1500000</v>
      </c>
      <c r="Q32" s="99">
        <v>16</v>
      </c>
      <c r="R32" s="99"/>
      <c r="S32" s="96"/>
      <c r="T32" s="96"/>
    </row>
    <row r="33" spans="1:22">
      <c r="A33" s="96"/>
      <c r="B33" s="96"/>
      <c r="C33" s="96" t="s">
        <v>5270</v>
      </c>
      <c r="D33" s="96">
        <v>500</v>
      </c>
      <c r="E33" s="96">
        <v>0.6</v>
      </c>
      <c r="F33" s="96">
        <f t="shared" si="7"/>
        <v>300000000</v>
      </c>
      <c r="G33" s="96">
        <f t="shared" si="6"/>
        <v>3420</v>
      </c>
      <c r="O33" s="99" t="s">
        <v>5129</v>
      </c>
      <c r="P33" s="18">
        <v>6000000</v>
      </c>
      <c r="Q33" s="99">
        <v>8</v>
      </c>
      <c r="R33" s="99"/>
      <c r="S33" s="96"/>
      <c r="T33" s="96"/>
    </row>
    <row r="34" spans="1:22">
      <c r="A34" s="96"/>
      <c r="B34" s="96"/>
      <c r="C34" s="96" t="s">
        <v>5271</v>
      </c>
      <c r="D34" s="96">
        <v>903</v>
      </c>
      <c r="E34" s="96">
        <v>1</v>
      </c>
      <c r="F34" s="96">
        <f t="shared" si="7"/>
        <v>903000000</v>
      </c>
      <c r="G34" s="96">
        <f t="shared" si="6"/>
        <v>10294.200000000001</v>
      </c>
      <c r="O34" s="99" t="s">
        <v>5195</v>
      </c>
      <c r="P34" s="18">
        <v>-50000</v>
      </c>
      <c r="Q34" s="99">
        <v>3</v>
      </c>
      <c r="R34" s="99"/>
      <c r="S34" s="96"/>
      <c r="T34" s="96"/>
    </row>
    <row r="35" spans="1:22">
      <c r="A35" s="96"/>
      <c r="B35" s="96"/>
      <c r="E35" s="96"/>
      <c r="F35" s="96">
        <f t="shared" si="7"/>
        <v>0</v>
      </c>
      <c r="G35" s="96">
        <f t="shared" si="6"/>
        <v>0</v>
      </c>
      <c r="O35" s="99" t="s">
        <v>5200</v>
      </c>
      <c r="P35" s="18">
        <v>-20000</v>
      </c>
      <c r="Q35" s="99">
        <v>7</v>
      </c>
      <c r="R35" s="99"/>
      <c r="S35" s="96"/>
      <c r="T35" s="96"/>
    </row>
    <row r="36" spans="1:22">
      <c r="A36" s="96"/>
      <c r="B36" s="96"/>
      <c r="E36" s="96"/>
      <c r="F36" s="96"/>
      <c r="G36" s="96"/>
      <c r="N36" t="s">
        <v>25</v>
      </c>
      <c r="O36" s="99" t="s">
        <v>5147</v>
      </c>
      <c r="P36" s="18">
        <v>6000000</v>
      </c>
      <c r="Q36" s="99">
        <v>1</v>
      </c>
      <c r="R36" s="99"/>
      <c r="S36" s="96"/>
      <c r="T36" s="96"/>
      <c r="V36" t="s">
        <v>25</v>
      </c>
    </row>
    <row r="37" spans="1:22">
      <c r="A37" s="96"/>
      <c r="B37" s="96"/>
      <c r="E37" s="96"/>
      <c r="F37" s="96"/>
      <c r="G37" s="96"/>
      <c r="O37" s="99" t="s">
        <v>5222</v>
      </c>
      <c r="P37" s="18">
        <v>-2302282</v>
      </c>
      <c r="Q37" s="99">
        <v>6</v>
      </c>
      <c r="R37" s="99"/>
      <c r="S37" s="96"/>
      <c r="T37" s="96"/>
    </row>
    <row r="38" spans="1:22">
      <c r="A38" s="96"/>
      <c r="B38" s="96"/>
      <c r="E38" s="96"/>
      <c r="F38" s="96"/>
      <c r="O38" s="99" t="s">
        <v>5231</v>
      </c>
      <c r="P38" s="18">
        <v>100000</v>
      </c>
      <c r="Q38" s="99">
        <v>1</v>
      </c>
      <c r="R38" s="99"/>
      <c r="S38" s="96"/>
      <c r="T38" s="96"/>
    </row>
    <row r="39" spans="1:22">
      <c r="A39" s="96"/>
      <c r="B39" s="96"/>
      <c r="C39" s="96" t="s">
        <v>5257</v>
      </c>
      <c r="D39" s="96" t="s">
        <v>5258</v>
      </c>
      <c r="E39" s="96"/>
      <c r="F39" s="96"/>
      <c r="O39" s="99" t="s">
        <v>5236</v>
      </c>
      <c r="P39" s="18">
        <v>-1727718</v>
      </c>
      <c r="Q39" s="99">
        <v>2</v>
      </c>
      <c r="R39" s="99"/>
      <c r="S39" s="96"/>
      <c r="T39" s="96"/>
      <c r="V39" t="s">
        <v>25</v>
      </c>
    </row>
    <row r="40" spans="1:22">
      <c r="A40" s="96"/>
      <c r="B40" s="96"/>
      <c r="C40" s="96" t="s">
        <v>5264</v>
      </c>
      <c r="D40" s="96">
        <v>1000000</v>
      </c>
      <c r="E40" s="96"/>
      <c r="F40" s="96"/>
      <c r="O40" s="99" t="s">
        <v>5241</v>
      </c>
      <c r="P40" s="18">
        <v>-1000000</v>
      </c>
      <c r="Q40" s="99">
        <v>0</v>
      </c>
      <c r="R40" s="99"/>
      <c r="S40" s="96"/>
      <c r="T40" s="96"/>
    </row>
    <row r="41" spans="1:22">
      <c r="A41" s="96"/>
      <c r="B41" s="96"/>
      <c r="C41" s="96" t="s">
        <v>5259</v>
      </c>
      <c r="D41" s="96" t="s">
        <v>5260</v>
      </c>
      <c r="E41" s="96"/>
      <c r="F41" s="96"/>
      <c r="O41" s="99" t="s">
        <v>5241</v>
      </c>
      <c r="P41" s="18">
        <v>-439200</v>
      </c>
      <c r="Q41" s="99">
        <v>1</v>
      </c>
      <c r="R41" s="99"/>
      <c r="S41" s="96"/>
      <c r="T41" s="96"/>
    </row>
    <row r="42" spans="1:22">
      <c r="A42" s="96"/>
      <c r="B42" s="96"/>
      <c r="E42" s="96"/>
      <c r="F42" s="96"/>
      <c r="O42" s="99" t="s">
        <v>5247</v>
      </c>
      <c r="P42" s="18">
        <v>-3631879</v>
      </c>
      <c r="Q42" s="99">
        <v>3</v>
      </c>
      <c r="R42" s="99"/>
      <c r="S42" s="96"/>
      <c r="T42" s="96"/>
    </row>
    <row r="43" spans="1:22">
      <c r="A43" s="96"/>
      <c r="B43" s="96"/>
      <c r="E43" s="96"/>
      <c r="F43" s="96"/>
      <c r="O43" s="99" t="s">
        <v>5275</v>
      </c>
      <c r="P43" s="18">
        <v>-2428921</v>
      </c>
      <c r="Q43" s="99">
        <v>9</v>
      </c>
      <c r="R43" s="99"/>
      <c r="S43" s="96"/>
      <c r="T43" s="96"/>
    </row>
    <row r="44" spans="1:22">
      <c r="A44" s="96"/>
      <c r="B44" s="96"/>
      <c r="E44" s="96"/>
      <c r="F44" s="96"/>
      <c r="O44" s="99" t="s">
        <v>5311</v>
      </c>
      <c r="P44" s="18">
        <v>-500000</v>
      </c>
      <c r="Q44" s="99">
        <v>1</v>
      </c>
      <c r="R44" s="99"/>
      <c r="S44" s="96"/>
      <c r="T44" s="96"/>
    </row>
    <row r="45" spans="1:22">
      <c r="A45" s="96"/>
      <c r="B45" s="96"/>
      <c r="E45" s="96"/>
      <c r="F45" s="96"/>
      <c r="O45" s="99" t="s">
        <v>5312</v>
      </c>
      <c r="P45" s="18">
        <v>-2603</v>
      </c>
      <c r="Q45" s="99">
        <v>0</v>
      </c>
      <c r="R45" s="99" t="s">
        <v>5314</v>
      </c>
      <c r="S45" s="96"/>
      <c r="T45" s="96"/>
    </row>
    <row r="46" spans="1:22">
      <c r="A46" s="96"/>
      <c r="B46" s="96"/>
      <c r="E46" s="96"/>
      <c r="F46" s="96"/>
      <c r="O46" s="99" t="s">
        <v>5312</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5340</v>
      </c>
      <c r="P48" s="18">
        <v>300000</v>
      </c>
      <c r="Q48" s="99">
        <v>3</v>
      </c>
      <c r="R48" s="99"/>
      <c r="S48" s="96"/>
      <c r="T48" s="96"/>
    </row>
    <row r="49" spans="1:20">
      <c r="A49" s="96"/>
      <c r="B49" s="96"/>
      <c r="E49" s="96"/>
      <c r="F49" s="96"/>
      <c r="O49" s="99" t="s">
        <v>5352</v>
      </c>
      <c r="P49" s="18">
        <v>-50000</v>
      </c>
      <c r="Q49" s="99">
        <v>1</v>
      </c>
      <c r="R49" s="99"/>
      <c r="S49" s="96"/>
      <c r="T49" s="96"/>
    </row>
    <row r="50" spans="1:20">
      <c r="A50" s="96"/>
      <c r="B50" s="96"/>
      <c r="E50" s="96"/>
      <c r="F50" s="96"/>
      <c r="O50" s="99" t="s">
        <v>5360</v>
      </c>
      <c r="P50" s="18">
        <v>-1683146</v>
      </c>
      <c r="Q50" s="99"/>
      <c r="R50" s="99"/>
      <c r="S50" s="96"/>
      <c r="T50" s="96"/>
    </row>
    <row r="51" spans="1:20">
      <c r="A51" s="96"/>
      <c r="B51" s="96"/>
      <c r="E51" s="96"/>
      <c r="F51" s="96"/>
      <c r="O51" s="99"/>
      <c r="P51" s="18"/>
      <c r="Q51" s="99"/>
      <c r="R51" s="99"/>
      <c r="S51" s="96"/>
      <c r="T51" s="96"/>
    </row>
    <row r="52" spans="1:20">
      <c r="A52" s="96"/>
      <c r="B52" s="96"/>
      <c r="E52" s="96"/>
      <c r="F52" s="96"/>
      <c r="O52" s="99"/>
      <c r="P52" s="18"/>
      <c r="Q52" s="99"/>
      <c r="R52" s="99"/>
    </row>
    <row r="53" spans="1:20">
      <c r="A53" s="96"/>
      <c r="B53" s="96"/>
      <c r="E53" s="96"/>
      <c r="F53" s="96"/>
      <c r="O53" s="99"/>
      <c r="P53" s="18">
        <f>SUM(P14:P52)</f>
        <v>0</v>
      </c>
      <c r="Q53" s="99"/>
      <c r="R53" s="99"/>
    </row>
    <row r="54" spans="1:20">
      <c r="A54" s="96"/>
      <c r="B54" s="96"/>
      <c r="E54" s="96"/>
      <c r="F54" s="96"/>
      <c r="P54" t="s">
        <v>5008</v>
      </c>
    </row>
    <row r="55" spans="1:20">
      <c r="A55" s="96"/>
      <c r="B55" s="96"/>
      <c r="E55" s="96"/>
      <c r="F55" s="96"/>
    </row>
    <row r="56" spans="1:20">
      <c r="A56" s="96"/>
      <c r="B56" s="96"/>
      <c r="E56" s="96"/>
      <c r="F56" s="96"/>
    </row>
    <row r="57" spans="1:20">
      <c r="A57" s="96"/>
      <c r="B57" s="96"/>
      <c r="E57" s="96"/>
      <c r="F57" s="96"/>
      <c r="S57" t="s">
        <v>25</v>
      </c>
    </row>
    <row r="58" spans="1:20">
      <c r="A58" s="96"/>
      <c r="B58" s="96"/>
      <c r="E58" s="96"/>
      <c r="F58" s="96"/>
    </row>
    <row r="59" spans="1:20">
      <c r="A59" s="96"/>
      <c r="B59" s="96"/>
      <c r="E59" s="96"/>
      <c r="F59" s="96"/>
      <c r="O59" t="s">
        <v>25</v>
      </c>
    </row>
    <row r="60" spans="1:20">
      <c r="A60" s="96"/>
      <c r="B60" s="96"/>
      <c r="E60" s="96"/>
      <c r="F60" s="96"/>
      <c r="P60" t="s">
        <v>25</v>
      </c>
    </row>
    <row r="61" spans="1:20">
      <c r="A61" s="96"/>
      <c r="B61" s="96"/>
      <c r="E61" s="96"/>
      <c r="F61" s="96"/>
    </row>
    <row r="62" spans="1:20">
      <c r="A62" s="96"/>
      <c r="B62" s="96"/>
      <c r="E62" s="96"/>
      <c r="F62" s="96"/>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
  <sheetViews>
    <sheetView topLeftCell="A71" workbookViewId="0">
      <selection activeCell="E97" sqref="E97"/>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5146</v>
      </c>
      <c r="F79" s="96"/>
      <c r="G79" s="96"/>
      <c r="H79" s="96"/>
      <c r="I79" s="96"/>
      <c r="J79" s="96"/>
      <c r="K79" s="96"/>
      <c r="L79" s="96"/>
      <c r="M79" s="96"/>
      <c r="N79" s="96"/>
      <c r="O79" s="96"/>
      <c r="P79" s="96"/>
      <c r="Q79" s="96"/>
      <c r="R79" s="96"/>
      <c r="S79" s="96"/>
      <c r="T79" s="96"/>
      <c r="U79" s="96"/>
    </row>
    <row r="80" spans="1:21">
      <c r="A80" s="96"/>
      <c r="B80" s="96"/>
      <c r="C80" s="96"/>
      <c r="D80" s="18">
        <v>50000</v>
      </c>
      <c r="E80" s="255" t="s">
        <v>5158</v>
      </c>
      <c r="F80" s="96"/>
      <c r="G80" s="96"/>
      <c r="H80" s="96"/>
      <c r="I80" s="96"/>
      <c r="J80" s="96"/>
      <c r="K80" s="96"/>
      <c r="L80" s="96"/>
      <c r="M80" s="96"/>
      <c r="N80" s="96"/>
      <c r="O80" s="96"/>
      <c r="P80" s="96"/>
      <c r="Q80" s="96"/>
      <c r="R80" s="96"/>
      <c r="S80" s="96"/>
      <c r="T80" s="96"/>
      <c r="U80" s="96"/>
    </row>
    <row r="81" spans="1:21">
      <c r="A81" s="96"/>
      <c r="B81" s="96"/>
      <c r="C81" s="96"/>
      <c r="D81" s="18">
        <v>500000</v>
      </c>
      <c r="E81" s="255" t="s">
        <v>5175</v>
      </c>
      <c r="F81" s="96"/>
      <c r="G81" s="96"/>
      <c r="H81" s="96"/>
      <c r="I81" s="96"/>
      <c r="J81" s="96"/>
      <c r="K81" s="96"/>
      <c r="L81" s="96"/>
      <c r="M81" s="96"/>
      <c r="N81" s="96"/>
      <c r="O81" s="96"/>
      <c r="P81" s="96"/>
      <c r="Q81" s="96"/>
      <c r="R81" s="96"/>
      <c r="S81" s="96"/>
      <c r="T81" s="96"/>
      <c r="U81" s="96"/>
    </row>
    <row r="82" spans="1:21">
      <c r="A82" s="96"/>
      <c r="B82" s="96"/>
      <c r="C82" s="96"/>
      <c r="D82" s="18">
        <v>1500000</v>
      </c>
      <c r="E82" s="255" t="s">
        <v>5174</v>
      </c>
      <c r="F82" s="96"/>
      <c r="G82" s="96"/>
      <c r="H82" s="96"/>
      <c r="I82" s="96"/>
      <c r="J82" s="96"/>
      <c r="K82" s="96"/>
      <c r="L82" s="96"/>
      <c r="M82" s="96"/>
      <c r="N82" s="96"/>
      <c r="O82" s="96"/>
      <c r="P82" s="96"/>
      <c r="Q82" s="96"/>
      <c r="R82" s="96"/>
      <c r="S82" s="96"/>
      <c r="T82" s="96"/>
      <c r="U82" s="96"/>
    </row>
    <row r="83" spans="1:21">
      <c r="D83" s="18">
        <v>-510000</v>
      </c>
      <c r="E83" s="255" t="s">
        <v>5176</v>
      </c>
      <c r="H83" t="s">
        <v>25</v>
      </c>
    </row>
    <row r="84" spans="1:21">
      <c r="D84" s="18">
        <v>-400000</v>
      </c>
      <c r="E84" s="255" t="s">
        <v>5196</v>
      </c>
    </row>
    <row r="85" spans="1:21">
      <c r="D85" s="18">
        <v>250000</v>
      </c>
      <c r="E85" s="255" t="s">
        <v>5205</v>
      </c>
    </row>
    <row r="86" spans="1:21">
      <c r="D86" s="18">
        <v>-50000</v>
      </c>
      <c r="E86" s="255" t="s">
        <v>5206</v>
      </c>
    </row>
    <row r="87" spans="1:21">
      <c r="D87" s="18">
        <v>-300000</v>
      </c>
      <c r="E87" s="255" t="s">
        <v>5210</v>
      </c>
    </row>
    <row r="88" spans="1:21">
      <c r="D88" s="18">
        <v>-100000</v>
      </c>
      <c r="E88" s="255" t="s">
        <v>5230</v>
      </c>
      <c r="I88" t="s">
        <v>25</v>
      </c>
    </row>
    <row r="89" spans="1:21">
      <c r="D89" s="18">
        <v>-250000</v>
      </c>
      <c r="E89" s="255" t="s">
        <v>5246</v>
      </c>
    </row>
    <row r="90" spans="1:21">
      <c r="D90" s="18">
        <v>-45000</v>
      </c>
      <c r="E90" s="255" t="s">
        <v>5272</v>
      </c>
    </row>
    <row r="91" spans="1:21">
      <c r="D91" s="18">
        <v>3000000</v>
      </c>
      <c r="E91" s="255" t="s">
        <v>5273</v>
      </c>
      <c r="I91" t="s">
        <v>25</v>
      </c>
    </row>
    <row r="92" spans="1:21">
      <c r="D92" s="18">
        <v>-550000</v>
      </c>
      <c r="E92" s="255" t="s">
        <v>5274</v>
      </c>
    </row>
    <row r="93" spans="1:21">
      <c r="D93" s="18">
        <v>-200000</v>
      </c>
      <c r="E93" s="255" t="s">
        <v>5297</v>
      </c>
      <c r="G93" t="s">
        <v>25</v>
      </c>
    </row>
    <row r="94" spans="1:21">
      <c r="D94" s="18">
        <v>-30500</v>
      </c>
      <c r="E94" s="255" t="s">
        <v>5299</v>
      </c>
    </row>
    <row r="95" spans="1:21">
      <c r="D95" s="18">
        <v>2500000</v>
      </c>
      <c r="E95" s="255" t="s">
        <v>5359</v>
      </c>
      <c r="I95" t="s">
        <v>25</v>
      </c>
    </row>
    <row r="96" spans="1:21">
      <c r="D96" s="18">
        <v>-230000</v>
      </c>
      <c r="E96" s="255" t="s">
        <v>5376</v>
      </c>
    </row>
    <row r="97" spans="4:10">
      <c r="D97" s="18"/>
      <c r="E97" s="255"/>
      <c r="J97" t="s">
        <v>25</v>
      </c>
    </row>
    <row r="98" spans="4:10">
      <c r="D98" s="18"/>
      <c r="E98" s="255"/>
    </row>
    <row r="99" spans="4:10">
      <c r="D99" s="18"/>
      <c r="E99" s="96"/>
    </row>
    <row r="100" spans="4:10">
      <c r="D100" s="18"/>
      <c r="E100" s="96" t="s">
        <v>25</v>
      </c>
    </row>
    <row r="101" spans="4:10">
      <c r="D101" s="18">
        <f>SUM(D40:D100)</f>
        <v>28050409</v>
      </c>
      <c r="E101" s="96" t="s">
        <v>6</v>
      </c>
    </row>
    <row r="102" spans="4:10">
      <c r="D102" s="96"/>
      <c r="E102" s="96"/>
    </row>
    <row r="103" spans="4:10">
      <c r="D103" s="96"/>
      <c r="E103" s="96"/>
    </row>
    <row r="106" spans="4:10">
      <c r="E106" t="s">
        <v>25</v>
      </c>
    </row>
    <row r="107" spans="4:10">
      <c r="E107" t="s">
        <v>25</v>
      </c>
    </row>
    <row r="108" spans="4:10">
      <c r="E108"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2" t="s">
        <v>1086</v>
      </c>
      <c r="R21" s="282"/>
      <c r="S21" s="282"/>
      <c r="T21" s="282"/>
      <c r="U21" s="96"/>
      <c r="V21" s="96"/>
      <c r="W21" s="41" t="s">
        <v>5077</v>
      </c>
      <c r="X21" s="41">
        <v>9035210431</v>
      </c>
      <c r="Y21" s="41">
        <v>50</v>
      </c>
      <c r="Z21" s="41"/>
    </row>
    <row r="22" spans="5:35">
      <c r="O22" s="99"/>
      <c r="P22" s="99"/>
      <c r="Q22" s="282"/>
      <c r="R22" s="282"/>
      <c r="S22" s="282"/>
      <c r="T22" s="282"/>
      <c r="U22" s="96"/>
      <c r="V22" s="96"/>
      <c r="W22" s="41" t="s">
        <v>5189</v>
      </c>
      <c r="X22" s="41">
        <v>9909620343</v>
      </c>
      <c r="Y22" s="41">
        <v>100</v>
      </c>
      <c r="Z22" s="41"/>
    </row>
    <row r="23" spans="5:35" ht="15.75">
      <c r="O23" s="178"/>
      <c r="P23" s="99" t="s">
        <v>4083</v>
      </c>
      <c r="Q23" s="283" t="s">
        <v>1087</v>
      </c>
      <c r="R23" s="284" t="s">
        <v>1088</v>
      </c>
      <c r="S23" s="283" t="s">
        <v>1089</v>
      </c>
      <c r="T23" s="285" t="s">
        <v>1090</v>
      </c>
      <c r="W23" s="41" t="s">
        <v>5190</v>
      </c>
      <c r="X23" s="41">
        <v>9378807702</v>
      </c>
      <c r="Y23" s="41">
        <v>0</v>
      </c>
      <c r="Z23" s="41"/>
      <c r="AD23" t="s">
        <v>25</v>
      </c>
    </row>
    <row r="24" spans="5:35">
      <c r="O24" s="99"/>
      <c r="P24" s="99"/>
      <c r="Q24" s="283"/>
      <c r="R24" s="284"/>
      <c r="S24" s="283"/>
      <c r="T24" s="285"/>
      <c r="W24" s="41" t="s">
        <v>5221</v>
      </c>
      <c r="X24" s="41"/>
      <c r="Y24" s="41">
        <v>200</v>
      </c>
      <c r="Z24" s="41">
        <v>2</v>
      </c>
    </row>
    <row r="25" spans="5:35">
      <c r="O25" s="173" t="s">
        <v>4139</v>
      </c>
      <c r="P25" s="173">
        <v>2182188507</v>
      </c>
      <c r="Q25" s="174" t="s">
        <v>1091</v>
      </c>
      <c r="R25" s="174" t="s">
        <v>4084</v>
      </c>
      <c r="S25" s="174" t="s">
        <v>4089</v>
      </c>
      <c r="T25" s="174" t="s">
        <v>1092</v>
      </c>
      <c r="W25" s="41" t="s">
        <v>5250</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25" activePane="bottomLeft" state="frozen"/>
      <selection pane="bottomLeft" activeCell="C344" sqref="C344"/>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1249</v>
      </c>
      <c r="E2" s="11">
        <f>IF(B2&gt;0,1,0)</f>
        <v>1</v>
      </c>
      <c r="F2" s="11">
        <f>B2*(D2-E2)</f>
        <v>120681600</v>
      </c>
      <c r="G2" s="11" t="s">
        <v>1</v>
      </c>
    </row>
    <row r="3" spans="1:7">
      <c r="A3" s="11" t="s">
        <v>394</v>
      </c>
      <c r="B3" s="3">
        <v>3000000</v>
      </c>
      <c r="C3" s="11">
        <v>3</v>
      </c>
      <c r="D3" s="11">
        <f t="shared" si="0"/>
        <v>1247</v>
      </c>
      <c r="E3" s="11">
        <f t="shared" ref="E3:E66" si="1">IF(B3&gt;0,1,0)</f>
        <v>1</v>
      </c>
      <c r="F3" s="11">
        <f t="shared" ref="F3:F66" si="2">B3*(D3-E3)</f>
        <v>3738000000</v>
      </c>
      <c r="G3" s="11"/>
    </row>
    <row r="4" spans="1:7">
      <c r="A4" s="11" t="s">
        <v>393</v>
      </c>
      <c r="B4" s="3">
        <v>-200000</v>
      </c>
      <c r="C4" s="11">
        <v>2</v>
      </c>
      <c r="D4" s="11">
        <f t="shared" si="0"/>
        <v>1244</v>
      </c>
      <c r="E4" s="11">
        <f t="shared" si="1"/>
        <v>0</v>
      </c>
      <c r="F4" s="11">
        <f t="shared" si="2"/>
        <v>-248800000</v>
      </c>
      <c r="G4" s="11"/>
    </row>
    <row r="5" spans="1:7">
      <c r="A5" s="11" t="s">
        <v>392</v>
      </c>
      <c r="B5" s="3">
        <v>-100000</v>
      </c>
      <c r="C5" s="11">
        <v>1</v>
      </c>
      <c r="D5" s="11">
        <f t="shared" si="0"/>
        <v>1242</v>
      </c>
      <c r="E5" s="11">
        <f t="shared" si="1"/>
        <v>0</v>
      </c>
      <c r="F5" s="11">
        <f t="shared" si="2"/>
        <v>-124200000</v>
      </c>
      <c r="G5" s="11"/>
    </row>
    <row r="6" spans="1:7">
      <c r="A6" s="11" t="s">
        <v>391</v>
      </c>
      <c r="B6" s="3">
        <v>-55000</v>
      </c>
      <c r="C6" s="11">
        <v>1</v>
      </c>
      <c r="D6" s="11">
        <f t="shared" si="0"/>
        <v>1241</v>
      </c>
      <c r="E6" s="11">
        <f t="shared" si="1"/>
        <v>0</v>
      </c>
      <c r="F6" s="11">
        <f t="shared" si="2"/>
        <v>-68255000</v>
      </c>
      <c r="G6" s="11"/>
    </row>
    <row r="7" spans="1:7">
      <c r="A7" s="11" t="s">
        <v>390</v>
      </c>
      <c r="B7" s="3">
        <v>-200000</v>
      </c>
      <c r="C7" s="11">
        <v>4</v>
      </c>
      <c r="D7" s="11">
        <f t="shared" si="0"/>
        <v>1240</v>
      </c>
      <c r="E7" s="11">
        <f t="shared" si="1"/>
        <v>0</v>
      </c>
      <c r="F7" s="11">
        <f t="shared" si="2"/>
        <v>-248000000</v>
      </c>
      <c r="G7" s="11"/>
    </row>
    <row r="8" spans="1:7">
      <c r="A8" s="11" t="s">
        <v>389</v>
      </c>
      <c r="B8" s="3">
        <v>-200000</v>
      </c>
      <c r="C8" s="11">
        <v>10</v>
      </c>
      <c r="D8" s="11">
        <f t="shared" si="0"/>
        <v>1236</v>
      </c>
      <c r="E8" s="11">
        <f t="shared" si="1"/>
        <v>0</v>
      </c>
      <c r="F8" s="11">
        <f t="shared" si="2"/>
        <v>-247200000</v>
      </c>
      <c r="G8" s="11"/>
    </row>
    <row r="9" spans="1:7">
      <c r="A9" s="11" t="s">
        <v>388</v>
      </c>
      <c r="B9" s="3">
        <v>-950500</v>
      </c>
      <c r="C9" s="11">
        <v>1</v>
      </c>
      <c r="D9" s="11">
        <f t="shared" si="0"/>
        <v>1226</v>
      </c>
      <c r="E9" s="11">
        <f t="shared" si="1"/>
        <v>0</v>
      </c>
      <c r="F9" s="11">
        <f t="shared" si="2"/>
        <v>-1165313000</v>
      </c>
      <c r="G9" s="11"/>
    </row>
    <row r="10" spans="1:7">
      <c r="A10" s="23" t="s">
        <v>387</v>
      </c>
      <c r="B10" s="3">
        <v>2000000</v>
      </c>
      <c r="C10" s="11">
        <v>2</v>
      </c>
      <c r="D10" s="11">
        <f t="shared" si="0"/>
        <v>1225</v>
      </c>
      <c r="E10" s="11">
        <f t="shared" si="1"/>
        <v>1</v>
      </c>
      <c r="F10" s="11">
        <f t="shared" si="2"/>
        <v>2448000000</v>
      </c>
      <c r="G10" s="11"/>
    </row>
    <row r="11" spans="1:7">
      <c r="A11" s="11" t="s">
        <v>386</v>
      </c>
      <c r="B11" s="3">
        <v>-1065000</v>
      </c>
      <c r="C11" s="11">
        <v>3</v>
      </c>
      <c r="D11" s="11">
        <f t="shared" si="0"/>
        <v>1223</v>
      </c>
      <c r="E11" s="11">
        <f t="shared" si="1"/>
        <v>0</v>
      </c>
      <c r="F11" s="11">
        <f t="shared" si="2"/>
        <v>-1302495000</v>
      </c>
      <c r="G11" s="11"/>
    </row>
    <row r="12" spans="1:7">
      <c r="A12" s="11" t="s">
        <v>385</v>
      </c>
      <c r="B12" s="3">
        <v>-45000</v>
      </c>
      <c r="C12" s="11">
        <v>1</v>
      </c>
      <c r="D12" s="11">
        <f t="shared" si="0"/>
        <v>1220</v>
      </c>
      <c r="E12" s="11">
        <f t="shared" si="1"/>
        <v>0</v>
      </c>
      <c r="F12" s="11">
        <f t="shared" si="2"/>
        <v>-54900000</v>
      </c>
      <c r="G12" s="11"/>
    </row>
    <row r="13" spans="1:7">
      <c r="A13" s="11" t="s">
        <v>384</v>
      </c>
      <c r="B13" s="3">
        <v>-2000700</v>
      </c>
      <c r="C13" s="11">
        <v>4</v>
      </c>
      <c r="D13" s="11">
        <f t="shared" si="0"/>
        <v>1219</v>
      </c>
      <c r="E13" s="11">
        <f t="shared" si="1"/>
        <v>0</v>
      </c>
      <c r="F13" s="11">
        <f t="shared" si="2"/>
        <v>-2438853300</v>
      </c>
      <c r="G13" s="11"/>
    </row>
    <row r="14" spans="1:7">
      <c r="A14" s="23" t="s">
        <v>383</v>
      </c>
      <c r="B14" s="3">
        <v>-200000</v>
      </c>
      <c r="C14" s="11">
        <v>2</v>
      </c>
      <c r="D14" s="11">
        <f t="shared" si="0"/>
        <v>1215</v>
      </c>
      <c r="E14" s="11">
        <f t="shared" si="1"/>
        <v>0</v>
      </c>
      <c r="F14" s="11">
        <f t="shared" si="2"/>
        <v>-243000000</v>
      </c>
      <c r="G14" s="11"/>
    </row>
    <row r="15" spans="1:7">
      <c r="A15" s="11" t="s">
        <v>382</v>
      </c>
      <c r="B15" s="3">
        <v>2000000</v>
      </c>
      <c r="C15" s="11">
        <v>0</v>
      </c>
      <c r="D15" s="11">
        <f t="shared" si="0"/>
        <v>1213</v>
      </c>
      <c r="E15" s="11">
        <f t="shared" si="1"/>
        <v>1</v>
      </c>
      <c r="F15" s="11">
        <f t="shared" si="2"/>
        <v>2424000000</v>
      </c>
      <c r="G15" s="11"/>
    </row>
    <row r="16" spans="1:7">
      <c r="A16" s="11" t="s">
        <v>382</v>
      </c>
      <c r="B16" s="3">
        <v>2000000</v>
      </c>
      <c r="C16" s="11">
        <v>0</v>
      </c>
      <c r="D16" s="11">
        <f t="shared" si="0"/>
        <v>1213</v>
      </c>
      <c r="E16" s="11">
        <f t="shared" si="1"/>
        <v>1</v>
      </c>
      <c r="F16" s="11">
        <f t="shared" si="2"/>
        <v>2424000000</v>
      </c>
      <c r="G16" s="11"/>
    </row>
    <row r="17" spans="1:12">
      <c r="A17" s="11" t="s">
        <v>382</v>
      </c>
      <c r="B17" s="3">
        <v>1200000</v>
      </c>
      <c r="C17" s="11">
        <v>0</v>
      </c>
      <c r="D17" s="11">
        <f t="shared" si="0"/>
        <v>1213</v>
      </c>
      <c r="E17" s="11">
        <f t="shared" si="1"/>
        <v>1</v>
      </c>
      <c r="F17" s="11">
        <f t="shared" si="2"/>
        <v>1454400000</v>
      </c>
      <c r="G17" s="11"/>
    </row>
    <row r="18" spans="1:12">
      <c r="A18" s="11" t="s">
        <v>382</v>
      </c>
      <c r="B18" s="3">
        <v>1000000</v>
      </c>
      <c r="C18" s="11">
        <v>1</v>
      </c>
      <c r="D18" s="11">
        <f t="shared" si="0"/>
        <v>1213</v>
      </c>
      <c r="E18" s="11">
        <f t="shared" si="1"/>
        <v>1</v>
      </c>
      <c r="F18" s="11">
        <f t="shared" si="2"/>
        <v>1212000000</v>
      </c>
      <c r="G18" s="11"/>
    </row>
    <row r="19" spans="1:12">
      <c r="A19" s="11" t="s">
        <v>381</v>
      </c>
      <c r="B19" s="3">
        <v>3000000</v>
      </c>
      <c r="C19" s="11">
        <v>0</v>
      </c>
      <c r="D19" s="11">
        <f t="shared" si="0"/>
        <v>1212</v>
      </c>
      <c r="E19" s="11">
        <f t="shared" si="1"/>
        <v>1</v>
      </c>
      <c r="F19" s="11">
        <f t="shared" si="2"/>
        <v>3633000000</v>
      </c>
      <c r="G19" s="11"/>
      <c r="L19" t="s">
        <v>25</v>
      </c>
    </row>
    <row r="20" spans="1:12">
      <c r="A20" s="11" t="s">
        <v>381</v>
      </c>
      <c r="B20" s="3">
        <v>-432700</v>
      </c>
      <c r="C20" s="11">
        <v>0</v>
      </c>
      <c r="D20" s="11">
        <f t="shared" si="0"/>
        <v>1212</v>
      </c>
      <c r="E20" s="11">
        <f t="shared" si="1"/>
        <v>0</v>
      </c>
      <c r="F20" s="11">
        <f t="shared" si="2"/>
        <v>-524432400</v>
      </c>
      <c r="G20" s="11"/>
    </row>
    <row r="21" spans="1:12">
      <c r="A21" s="11" t="s">
        <v>381</v>
      </c>
      <c r="B21" s="3">
        <v>-432700</v>
      </c>
      <c r="C21" s="11">
        <v>0</v>
      </c>
      <c r="D21" s="11">
        <f t="shared" si="0"/>
        <v>1212</v>
      </c>
      <c r="E21" s="11">
        <f t="shared" si="1"/>
        <v>0</v>
      </c>
      <c r="F21" s="11">
        <f t="shared" si="2"/>
        <v>-524432400</v>
      </c>
      <c r="G21" s="11"/>
    </row>
    <row r="22" spans="1:12">
      <c r="A22" s="11" t="s">
        <v>381</v>
      </c>
      <c r="B22" s="3">
        <v>-432700</v>
      </c>
      <c r="C22" s="11">
        <v>0</v>
      </c>
      <c r="D22" s="11">
        <f t="shared" si="0"/>
        <v>1212</v>
      </c>
      <c r="E22" s="11">
        <f t="shared" si="1"/>
        <v>0</v>
      </c>
      <c r="F22" s="11">
        <f t="shared" si="2"/>
        <v>-524432400</v>
      </c>
      <c r="G22" s="11"/>
    </row>
    <row r="23" spans="1:12">
      <c r="A23" s="11" t="s">
        <v>381</v>
      </c>
      <c r="B23" s="3">
        <v>-432700</v>
      </c>
      <c r="C23" s="11">
        <v>0</v>
      </c>
      <c r="D23" s="11">
        <f t="shared" si="0"/>
        <v>1212</v>
      </c>
      <c r="E23" s="11">
        <f t="shared" si="1"/>
        <v>0</v>
      </c>
      <c r="F23" s="11">
        <f t="shared" si="2"/>
        <v>-524432400</v>
      </c>
      <c r="G23" s="11"/>
    </row>
    <row r="24" spans="1:12">
      <c r="A24" s="11" t="s">
        <v>381</v>
      </c>
      <c r="B24" s="3">
        <v>-432700</v>
      </c>
      <c r="C24" s="11">
        <v>0</v>
      </c>
      <c r="D24" s="11">
        <f t="shared" si="0"/>
        <v>1212</v>
      </c>
      <c r="E24" s="11">
        <f t="shared" si="1"/>
        <v>0</v>
      </c>
      <c r="F24" s="11">
        <f t="shared" si="2"/>
        <v>-524432400</v>
      </c>
      <c r="G24" s="11"/>
    </row>
    <row r="25" spans="1:12">
      <c r="A25" s="11" t="s">
        <v>381</v>
      </c>
      <c r="B25" s="3">
        <v>-200000</v>
      </c>
      <c r="C25" s="11">
        <v>1</v>
      </c>
      <c r="D25" s="11">
        <f t="shared" si="0"/>
        <v>1212</v>
      </c>
      <c r="E25" s="11">
        <f t="shared" si="1"/>
        <v>0</v>
      </c>
      <c r="F25" s="11">
        <f t="shared" si="2"/>
        <v>-242400000</v>
      </c>
      <c r="G25" s="11"/>
    </row>
    <row r="26" spans="1:12">
      <c r="A26" s="11" t="s">
        <v>380</v>
      </c>
      <c r="B26" s="3">
        <v>3000000</v>
      </c>
      <c r="C26" s="11">
        <v>2</v>
      </c>
      <c r="D26" s="11">
        <f t="shared" si="0"/>
        <v>1211</v>
      </c>
      <c r="E26" s="11">
        <f t="shared" si="1"/>
        <v>1</v>
      </c>
      <c r="F26" s="11">
        <f t="shared" si="2"/>
        <v>3630000000</v>
      </c>
      <c r="G26" s="11"/>
    </row>
    <row r="27" spans="1:12">
      <c r="A27" s="11" t="s">
        <v>379</v>
      </c>
      <c r="B27" s="3">
        <v>-200000</v>
      </c>
      <c r="C27" s="11">
        <v>1</v>
      </c>
      <c r="D27" s="11">
        <f t="shared" si="0"/>
        <v>1209</v>
      </c>
      <c r="E27" s="11">
        <f t="shared" si="1"/>
        <v>0</v>
      </c>
      <c r="F27" s="11">
        <f t="shared" si="2"/>
        <v>-241800000</v>
      </c>
      <c r="G27" s="11"/>
    </row>
    <row r="28" spans="1:12">
      <c r="A28" s="11" t="s">
        <v>378</v>
      </c>
      <c r="B28" s="3">
        <v>2000000</v>
      </c>
      <c r="C28" s="11">
        <v>1</v>
      </c>
      <c r="D28" s="11">
        <f t="shared" si="0"/>
        <v>1208</v>
      </c>
      <c r="E28" s="11">
        <f t="shared" si="1"/>
        <v>1</v>
      </c>
      <c r="F28" s="11">
        <f t="shared" si="2"/>
        <v>2414000000</v>
      </c>
      <c r="G28" s="11"/>
    </row>
    <row r="29" spans="1:12">
      <c r="A29" s="11" t="s">
        <v>377</v>
      </c>
      <c r="B29" s="3">
        <v>-7000800</v>
      </c>
      <c r="C29" s="11">
        <v>1</v>
      </c>
      <c r="D29" s="11">
        <f t="shared" si="0"/>
        <v>1207</v>
      </c>
      <c r="E29" s="11">
        <f t="shared" si="1"/>
        <v>0</v>
      </c>
      <c r="F29" s="11">
        <f t="shared" si="2"/>
        <v>-8449965600</v>
      </c>
      <c r="G29" s="11"/>
    </row>
    <row r="30" spans="1:12">
      <c r="A30" s="23" t="s">
        <v>54</v>
      </c>
      <c r="B30" s="3">
        <v>-3000900</v>
      </c>
      <c r="C30" s="11">
        <v>1</v>
      </c>
      <c r="D30" s="11">
        <f t="shared" si="0"/>
        <v>1206</v>
      </c>
      <c r="E30" s="11">
        <f t="shared" si="1"/>
        <v>0</v>
      </c>
      <c r="F30" s="11">
        <f t="shared" si="2"/>
        <v>-3619085400</v>
      </c>
      <c r="G30" s="11"/>
    </row>
    <row r="31" spans="1:12">
      <c r="A31" s="11" t="s">
        <v>55</v>
      </c>
      <c r="B31" s="3">
        <v>-1695900</v>
      </c>
      <c r="C31" s="11">
        <v>3</v>
      </c>
      <c r="D31" s="11">
        <f t="shared" si="0"/>
        <v>1205</v>
      </c>
      <c r="E31" s="11">
        <f t="shared" si="1"/>
        <v>0</v>
      </c>
      <c r="F31" s="11">
        <f t="shared" si="2"/>
        <v>-2043559500</v>
      </c>
      <c r="G31" s="11"/>
    </row>
    <row r="32" spans="1:12">
      <c r="A32" s="11" t="s">
        <v>376</v>
      </c>
      <c r="B32" s="3">
        <v>994300</v>
      </c>
      <c r="C32" s="11">
        <v>6</v>
      </c>
      <c r="D32" s="11">
        <f t="shared" si="0"/>
        <v>1202</v>
      </c>
      <c r="E32" s="11">
        <f t="shared" si="1"/>
        <v>1</v>
      </c>
      <c r="F32" s="11">
        <f t="shared" si="2"/>
        <v>1194154300</v>
      </c>
      <c r="G32" s="11"/>
    </row>
    <row r="33" spans="1:7">
      <c r="A33" s="11" t="s">
        <v>374</v>
      </c>
      <c r="B33" s="3">
        <v>35091</v>
      </c>
      <c r="C33" s="11">
        <v>1</v>
      </c>
      <c r="D33" s="11">
        <f t="shared" si="0"/>
        <v>1196</v>
      </c>
      <c r="E33" s="11">
        <f t="shared" si="1"/>
        <v>1</v>
      </c>
      <c r="F33" s="11">
        <f t="shared" si="2"/>
        <v>41933745</v>
      </c>
      <c r="G33" s="11" t="s">
        <v>375</v>
      </c>
    </row>
    <row r="34" spans="1:7">
      <c r="A34" s="11" t="s">
        <v>373</v>
      </c>
      <c r="B34" s="3">
        <v>-850000</v>
      </c>
      <c r="C34" s="11">
        <v>8</v>
      </c>
      <c r="D34" s="11">
        <f t="shared" si="0"/>
        <v>1195</v>
      </c>
      <c r="E34" s="11">
        <f t="shared" si="1"/>
        <v>0</v>
      </c>
      <c r="F34" s="11">
        <f t="shared" si="2"/>
        <v>-1015750000</v>
      </c>
      <c r="G34" s="11"/>
    </row>
    <row r="35" spans="1:7">
      <c r="A35" s="23" t="s">
        <v>372</v>
      </c>
      <c r="B35" s="3">
        <v>-190500</v>
      </c>
      <c r="C35" s="11">
        <v>1</v>
      </c>
      <c r="D35" s="11">
        <f t="shared" si="0"/>
        <v>1187</v>
      </c>
      <c r="E35" s="11">
        <f t="shared" si="1"/>
        <v>0</v>
      </c>
      <c r="F35" s="11">
        <f t="shared" si="2"/>
        <v>-226123500</v>
      </c>
      <c r="G35" s="11"/>
    </row>
    <row r="36" spans="1:7">
      <c r="A36" s="37" t="s">
        <v>80</v>
      </c>
      <c r="B36" s="3">
        <v>200000</v>
      </c>
      <c r="C36" s="11">
        <v>0</v>
      </c>
      <c r="D36" s="11">
        <f t="shared" si="0"/>
        <v>1186</v>
      </c>
      <c r="E36" s="11">
        <f t="shared" si="1"/>
        <v>1</v>
      </c>
      <c r="F36" s="11">
        <f t="shared" si="2"/>
        <v>237000000</v>
      </c>
      <c r="G36" s="11"/>
    </row>
    <row r="37" spans="1:7">
      <c r="A37" s="11" t="s">
        <v>80</v>
      </c>
      <c r="B37" s="3">
        <v>-200000</v>
      </c>
      <c r="C37" s="11">
        <v>22</v>
      </c>
      <c r="D37" s="11">
        <f t="shared" si="0"/>
        <v>1186</v>
      </c>
      <c r="E37" s="11">
        <f t="shared" si="1"/>
        <v>0</v>
      </c>
      <c r="F37" s="11">
        <f t="shared" si="2"/>
        <v>-237200000</v>
      </c>
      <c r="G37" s="11"/>
    </row>
    <row r="38" spans="1:7">
      <c r="A38" s="23" t="s">
        <v>371</v>
      </c>
      <c r="B38" s="3">
        <v>300806</v>
      </c>
      <c r="C38" s="11">
        <v>1</v>
      </c>
      <c r="D38" s="11">
        <f t="shared" si="0"/>
        <v>1164</v>
      </c>
      <c r="E38" s="11">
        <f t="shared" si="1"/>
        <v>1</v>
      </c>
      <c r="F38" s="11">
        <f t="shared" si="2"/>
        <v>349837378</v>
      </c>
      <c r="G38" s="11" t="s">
        <v>395</v>
      </c>
    </row>
    <row r="39" spans="1:7">
      <c r="A39" s="11" t="s">
        <v>370</v>
      </c>
      <c r="B39" s="3">
        <v>-95000</v>
      </c>
      <c r="C39" s="11">
        <v>0</v>
      </c>
      <c r="D39" s="11">
        <f t="shared" si="0"/>
        <v>1163</v>
      </c>
      <c r="E39" s="11">
        <f t="shared" si="1"/>
        <v>0</v>
      </c>
      <c r="F39" s="11">
        <f t="shared" si="2"/>
        <v>-110485000</v>
      </c>
      <c r="G39" s="11"/>
    </row>
    <row r="40" spans="1:7">
      <c r="A40" s="11" t="s">
        <v>370</v>
      </c>
      <c r="B40" s="3">
        <v>-88103</v>
      </c>
      <c r="C40" s="11">
        <v>5</v>
      </c>
      <c r="D40" s="11">
        <f t="shared" si="0"/>
        <v>1163</v>
      </c>
      <c r="E40" s="11">
        <f t="shared" si="1"/>
        <v>0</v>
      </c>
      <c r="F40" s="11">
        <f t="shared" si="2"/>
        <v>-102463789</v>
      </c>
      <c r="G40" s="11"/>
    </row>
    <row r="41" spans="1:7">
      <c r="A41" s="11" t="s">
        <v>369</v>
      </c>
      <c r="B41" s="3">
        <v>-120000</v>
      </c>
      <c r="C41" s="11">
        <v>22</v>
      </c>
      <c r="D41" s="11">
        <f t="shared" si="0"/>
        <v>1158</v>
      </c>
      <c r="E41" s="11">
        <f t="shared" si="1"/>
        <v>0</v>
      </c>
      <c r="F41" s="11">
        <f t="shared" si="2"/>
        <v>-138960000</v>
      </c>
      <c r="G41" s="11"/>
    </row>
    <row r="42" spans="1:7">
      <c r="A42" s="11" t="s">
        <v>368</v>
      </c>
      <c r="B42" s="3">
        <v>1000204</v>
      </c>
      <c r="C42" s="11">
        <v>4</v>
      </c>
      <c r="D42" s="11">
        <f t="shared" si="0"/>
        <v>1136</v>
      </c>
      <c r="E42" s="11">
        <f t="shared" si="1"/>
        <v>1</v>
      </c>
      <c r="F42" s="11">
        <f t="shared" si="2"/>
        <v>1135231540</v>
      </c>
      <c r="G42" s="11" t="s">
        <v>396</v>
      </c>
    </row>
    <row r="43" spans="1:7">
      <c r="A43" s="11" t="s">
        <v>367</v>
      </c>
      <c r="B43" s="3">
        <v>-80000</v>
      </c>
      <c r="C43" s="11">
        <v>4</v>
      </c>
      <c r="D43" s="11">
        <f t="shared" si="0"/>
        <v>1132</v>
      </c>
      <c r="E43" s="11">
        <f t="shared" si="1"/>
        <v>0</v>
      </c>
      <c r="F43" s="11">
        <f t="shared" si="2"/>
        <v>-90560000</v>
      </c>
      <c r="G43" s="11"/>
    </row>
    <row r="44" spans="1:7">
      <c r="A44" s="11" t="s">
        <v>366</v>
      </c>
      <c r="B44" s="3">
        <v>-211029</v>
      </c>
      <c r="C44" s="11">
        <v>1</v>
      </c>
      <c r="D44" s="11">
        <f t="shared" si="0"/>
        <v>1128</v>
      </c>
      <c r="E44" s="11">
        <f t="shared" si="1"/>
        <v>0</v>
      </c>
      <c r="F44" s="11">
        <f t="shared" si="2"/>
        <v>-238040712</v>
      </c>
      <c r="G44" s="11"/>
    </row>
    <row r="45" spans="1:7">
      <c r="A45" s="11" t="s">
        <v>365</v>
      </c>
      <c r="B45" s="3">
        <v>-200000</v>
      </c>
      <c r="C45" s="11">
        <v>1</v>
      </c>
      <c r="D45" s="11">
        <f t="shared" si="0"/>
        <v>1127</v>
      </c>
      <c r="E45" s="11">
        <f t="shared" si="1"/>
        <v>0</v>
      </c>
      <c r="F45" s="11">
        <f t="shared" si="2"/>
        <v>-225400000</v>
      </c>
      <c r="G45" s="11"/>
    </row>
    <row r="46" spans="1:7">
      <c r="A46" s="11" t="s">
        <v>364</v>
      </c>
      <c r="B46" s="3">
        <v>-95000</v>
      </c>
      <c r="C46" s="11">
        <v>2</v>
      </c>
      <c r="D46" s="11">
        <f t="shared" si="0"/>
        <v>1126</v>
      </c>
      <c r="E46" s="11">
        <f t="shared" si="1"/>
        <v>0</v>
      </c>
      <c r="F46" s="11">
        <f t="shared" si="2"/>
        <v>-106970000</v>
      </c>
      <c r="G46" s="11"/>
    </row>
    <row r="47" spans="1:7">
      <c r="A47" s="11" t="s">
        <v>363</v>
      </c>
      <c r="B47" s="3">
        <v>-45000</v>
      </c>
      <c r="C47" s="11">
        <v>0</v>
      </c>
      <c r="D47" s="11">
        <f t="shared" si="0"/>
        <v>1124</v>
      </c>
      <c r="E47" s="11">
        <f t="shared" si="1"/>
        <v>0</v>
      </c>
      <c r="F47" s="11">
        <f t="shared" si="2"/>
        <v>-50580000</v>
      </c>
      <c r="G47" s="11"/>
    </row>
    <row r="48" spans="1:7">
      <c r="A48" s="11" t="s">
        <v>363</v>
      </c>
      <c r="B48" s="3">
        <v>-64180</v>
      </c>
      <c r="C48" s="11">
        <v>3</v>
      </c>
      <c r="D48" s="11">
        <f t="shared" si="0"/>
        <v>1124</v>
      </c>
      <c r="E48" s="11">
        <f t="shared" si="1"/>
        <v>0</v>
      </c>
      <c r="F48" s="11">
        <f t="shared" si="2"/>
        <v>-72138320</v>
      </c>
      <c r="G48" s="11"/>
    </row>
    <row r="49" spans="1:7">
      <c r="A49" s="11" t="s">
        <v>362</v>
      </c>
      <c r="B49" s="3">
        <v>-27484</v>
      </c>
      <c r="C49" s="11">
        <v>1</v>
      </c>
      <c r="D49" s="11">
        <f t="shared" si="0"/>
        <v>1121</v>
      </c>
      <c r="E49" s="11">
        <f t="shared" si="1"/>
        <v>0</v>
      </c>
      <c r="F49" s="11">
        <f t="shared" si="2"/>
        <v>-30809564</v>
      </c>
      <c r="G49" s="11"/>
    </row>
    <row r="50" spans="1:7">
      <c r="A50" s="11" t="s">
        <v>361</v>
      </c>
      <c r="B50" s="3">
        <v>-141000</v>
      </c>
      <c r="C50" s="11">
        <v>0</v>
      </c>
      <c r="D50" s="11">
        <f t="shared" si="0"/>
        <v>1120</v>
      </c>
      <c r="E50" s="11">
        <f t="shared" si="1"/>
        <v>0</v>
      </c>
      <c r="F50" s="11">
        <f t="shared" si="2"/>
        <v>-157920000</v>
      </c>
      <c r="G50" s="11"/>
    </row>
    <row r="51" spans="1:7">
      <c r="A51" s="11" t="s">
        <v>361</v>
      </c>
      <c r="B51" s="3">
        <v>-26746</v>
      </c>
      <c r="C51" s="11">
        <v>1</v>
      </c>
      <c r="D51" s="11">
        <f t="shared" si="0"/>
        <v>1120</v>
      </c>
      <c r="E51" s="11">
        <f t="shared" si="1"/>
        <v>0</v>
      </c>
      <c r="F51" s="11">
        <f t="shared" si="2"/>
        <v>-29955520</v>
      </c>
      <c r="G51" s="11"/>
    </row>
    <row r="52" spans="1:7">
      <c r="A52" s="11" t="s">
        <v>360</v>
      </c>
      <c r="B52" s="3">
        <v>-53300</v>
      </c>
      <c r="C52" s="11">
        <v>1</v>
      </c>
      <c r="D52" s="11">
        <f t="shared" si="0"/>
        <v>1119</v>
      </c>
      <c r="E52" s="11">
        <f t="shared" si="1"/>
        <v>0</v>
      </c>
      <c r="F52" s="11">
        <f t="shared" si="2"/>
        <v>-59642700</v>
      </c>
      <c r="G52" s="11"/>
    </row>
    <row r="53" spans="1:7">
      <c r="A53" s="11" t="s">
        <v>126</v>
      </c>
      <c r="B53" s="3">
        <v>1000000</v>
      </c>
      <c r="C53" s="11">
        <v>6</v>
      </c>
      <c r="D53" s="11">
        <f t="shared" si="0"/>
        <v>1118</v>
      </c>
      <c r="E53" s="11">
        <f t="shared" si="1"/>
        <v>1</v>
      </c>
      <c r="F53" s="11">
        <f t="shared" si="2"/>
        <v>1117000000</v>
      </c>
      <c r="G53" s="11"/>
    </row>
    <row r="54" spans="1:7">
      <c r="A54" s="11" t="s">
        <v>359</v>
      </c>
      <c r="B54" s="3">
        <v>-21000</v>
      </c>
      <c r="C54" s="11">
        <v>1</v>
      </c>
      <c r="D54" s="11">
        <f t="shared" si="0"/>
        <v>1112</v>
      </c>
      <c r="E54" s="11">
        <f t="shared" si="1"/>
        <v>0</v>
      </c>
      <c r="F54" s="11">
        <f t="shared" si="2"/>
        <v>-23352000</v>
      </c>
      <c r="G54" s="11"/>
    </row>
    <row r="55" spans="1:7">
      <c r="A55" s="11" t="s">
        <v>131</v>
      </c>
      <c r="B55" s="3">
        <v>-980500</v>
      </c>
      <c r="C55" s="11">
        <v>0</v>
      </c>
      <c r="D55" s="11">
        <f t="shared" si="0"/>
        <v>1111</v>
      </c>
      <c r="E55" s="11">
        <f t="shared" si="1"/>
        <v>0</v>
      </c>
      <c r="F55" s="11">
        <f t="shared" si="2"/>
        <v>-1089335500</v>
      </c>
      <c r="G55" s="11"/>
    </row>
    <row r="56" spans="1:7">
      <c r="A56" s="11" t="s">
        <v>131</v>
      </c>
      <c r="B56" s="3">
        <v>-45000</v>
      </c>
      <c r="C56" s="11">
        <v>13</v>
      </c>
      <c r="D56" s="11">
        <f t="shared" si="0"/>
        <v>1111</v>
      </c>
      <c r="E56" s="11">
        <f t="shared" si="1"/>
        <v>0</v>
      </c>
      <c r="F56" s="11">
        <f t="shared" si="2"/>
        <v>-49995000</v>
      </c>
      <c r="G56" s="11"/>
    </row>
    <row r="57" spans="1:7">
      <c r="A57" s="11" t="s">
        <v>358</v>
      </c>
      <c r="B57" s="3">
        <v>3005189</v>
      </c>
      <c r="C57" s="11">
        <v>0</v>
      </c>
      <c r="D57" s="11">
        <f t="shared" si="0"/>
        <v>1098</v>
      </c>
      <c r="E57" s="11">
        <f t="shared" si="1"/>
        <v>1</v>
      </c>
      <c r="F57" s="11">
        <f t="shared" si="2"/>
        <v>3296692333</v>
      </c>
      <c r="G57" s="11" t="s">
        <v>397</v>
      </c>
    </row>
    <row r="58" spans="1:7">
      <c r="A58" s="11" t="s">
        <v>358</v>
      </c>
      <c r="B58" s="3">
        <v>2000000</v>
      </c>
      <c r="C58" s="11">
        <v>1</v>
      </c>
      <c r="D58" s="11">
        <f t="shared" si="0"/>
        <v>1098</v>
      </c>
      <c r="E58" s="11">
        <f t="shared" si="1"/>
        <v>1</v>
      </c>
      <c r="F58" s="11">
        <f t="shared" si="2"/>
        <v>2194000000</v>
      </c>
      <c r="G58" s="11"/>
    </row>
    <row r="59" spans="1:7">
      <c r="A59" s="11" t="s">
        <v>143</v>
      </c>
      <c r="B59" s="3">
        <v>2000000</v>
      </c>
      <c r="C59" s="11">
        <v>0</v>
      </c>
      <c r="D59" s="11">
        <f t="shared" si="0"/>
        <v>1097</v>
      </c>
      <c r="E59" s="11">
        <f t="shared" si="1"/>
        <v>1</v>
      </c>
      <c r="F59" s="11">
        <f t="shared" si="2"/>
        <v>2192000000</v>
      </c>
      <c r="G59" s="11"/>
    </row>
    <row r="60" spans="1:7">
      <c r="A60" s="11" t="s">
        <v>143</v>
      </c>
      <c r="B60" s="3">
        <v>-7001500</v>
      </c>
      <c r="C60" s="11">
        <v>24</v>
      </c>
      <c r="D60" s="11">
        <f t="shared" si="0"/>
        <v>1097</v>
      </c>
      <c r="E60" s="11">
        <f t="shared" si="1"/>
        <v>0</v>
      </c>
      <c r="F60" s="11">
        <f t="shared" si="2"/>
        <v>-7680645500</v>
      </c>
      <c r="G60" s="11"/>
    </row>
    <row r="61" spans="1:7">
      <c r="A61" s="11" t="s">
        <v>357</v>
      </c>
      <c r="B61" s="3">
        <v>3000000</v>
      </c>
      <c r="C61" s="11">
        <v>1</v>
      </c>
      <c r="D61" s="11">
        <f t="shared" si="0"/>
        <v>1073</v>
      </c>
      <c r="E61" s="11">
        <f t="shared" si="1"/>
        <v>1</v>
      </c>
      <c r="F61" s="11">
        <f t="shared" si="2"/>
        <v>3216000000</v>
      </c>
      <c r="G61" s="11"/>
    </row>
    <row r="62" spans="1:7">
      <c r="A62" s="11" t="s">
        <v>356</v>
      </c>
      <c r="B62" s="3">
        <v>-27109</v>
      </c>
      <c r="C62" s="11">
        <v>0</v>
      </c>
      <c r="D62" s="11">
        <f t="shared" si="0"/>
        <v>1072</v>
      </c>
      <c r="E62" s="11">
        <f t="shared" si="1"/>
        <v>0</v>
      </c>
      <c r="F62" s="11">
        <f t="shared" si="2"/>
        <v>-29060848</v>
      </c>
      <c r="G62" s="11"/>
    </row>
    <row r="63" spans="1:7">
      <c r="A63" s="11" t="s">
        <v>356</v>
      </c>
      <c r="B63" s="3">
        <v>-32989</v>
      </c>
      <c r="C63" s="11">
        <v>0</v>
      </c>
      <c r="D63" s="11">
        <f t="shared" si="0"/>
        <v>1072</v>
      </c>
      <c r="E63" s="11">
        <f t="shared" si="1"/>
        <v>0</v>
      </c>
      <c r="F63" s="11">
        <f t="shared" si="2"/>
        <v>-35364208</v>
      </c>
      <c r="G63" s="11"/>
    </row>
    <row r="64" spans="1:7">
      <c r="A64" s="11" t="s">
        <v>356</v>
      </c>
      <c r="B64" s="3">
        <v>3000000</v>
      </c>
      <c r="C64" s="11">
        <v>0</v>
      </c>
      <c r="D64" s="11">
        <f t="shared" si="0"/>
        <v>1072</v>
      </c>
      <c r="E64" s="11">
        <f t="shared" si="1"/>
        <v>1</v>
      </c>
      <c r="F64" s="11">
        <f t="shared" si="2"/>
        <v>3213000000</v>
      </c>
      <c r="G64" s="11"/>
    </row>
    <row r="65" spans="1:7">
      <c r="A65" s="11" t="s">
        <v>356</v>
      </c>
      <c r="B65" s="3">
        <v>2970000</v>
      </c>
      <c r="C65" s="11">
        <v>0</v>
      </c>
      <c r="D65" s="11">
        <f t="shared" si="0"/>
        <v>1072</v>
      </c>
      <c r="E65" s="11">
        <f t="shared" si="1"/>
        <v>1</v>
      </c>
      <c r="F65" s="11">
        <f t="shared" si="2"/>
        <v>3180870000</v>
      </c>
      <c r="G65" s="11"/>
    </row>
    <row r="66" spans="1:7">
      <c r="A66" s="11" t="s">
        <v>356</v>
      </c>
      <c r="B66" s="3">
        <v>1000000</v>
      </c>
      <c r="C66" s="11">
        <v>0</v>
      </c>
      <c r="D66" s="11">
        <f t="shared" ref="D66:D129" si="3">D67+C66</f>
        <v>1072</v>
      </c>
      <c r="E66" s="11">
        <f t="shared" si="1"/>
        <v>1</v>
      </c>
      <c r="F66" s="11">
        <f t="shared" si="2"/>
        <v>1071000000</v>
      </c>
      <c r="G66" s="11"/>
    </row>
    <row r="67" spans="1:7">
      <c r="A67" s="11" t="s">
        <v>356</v>
      </c>
      <c r="B67" s="3">
        <v>30000</v>
      </c>
      <c r="C67" s="11">
        <v>1</v>
      </c>
      <c r="D67" s="11">
        <f t="shared" si="3"/>
        <v>1072</v>
      </c>
      <c r="E67" s="11">
        <f t="shared" ref="E67:E130" si="4">IF(B67&gt;0,1,0)</f>
        <v>1</v>
      </c>
      <c r="F67" s="11">
        <f t="shared" ref="F67:F249" si="5">B67*(D67-E67)</f>
        <v>32130000</v>
      </c>
      <c r="G67" s="11"/>
    </row>
    <row r="68" spans="1:7">
      <c r="A68" s="11" t="s">
        <v>355</v>
      </c>
      <c r="B68" s="3">
        <v>30000000</v>
      </c>
      <c r="C68" s="11">
        <v>1</v>
      </c>
      <c r="D68" s="11">
        <f t="shared" si="3"/>
        <v>1071</v>
      </c>
      <c r="E68" s="11">
        <f t="shared" si="4"/>
        <v>1</v>
      </c>
      <c r="F68" s="11">
        <f t="shared" si="5"/>
        <v>32100000000</v>
      </c>
      <c r="G68" s="11"/>
    </row>
    <row r="69" spans="1:7">
      <c r="A69" s="11" t="s">
        <v>196</v>
      </c>
      <c r="B69" s="3">
        <v>-200000</v>
      </c>
      <c r="C69" s="11">
        <v>0</v>
      </c>
      <c r="D69" s="11">
        <f t="shared" si="3"/>
        <v>1070</v>
      </c>
      <c r="E69" s="11">
        <f t="shared" si="4"/>
        <v>0</v>
      </c>
      <c r="F69" s="11">
        <f t="shared" si="5"/>
        <v>-214000000</v>
      </c>
      <c r="G69" s="11"/>
    </row>
    <row r="70" spans="1:7">
      <c r="A70" s="11" t="s">
        <v>354</v>
      </c>
      <c r="B70" s="3">
        <v>1400000</v>
      </c>
      <c r="C70" s="11">
        <v>0</v>
      </c>
      <c r="D70" s="11">
        <f t="shared" si="3"/>
        <v>1070</v>
      </c>
      <c r="E70" s="11">
        <f t="shared" si="4"/>
        <v>1</v>
      </c>
      <c r="F70" s="11">
        <f t="shared" si="5"/>
        <v>1496600000</v>
      </c>
      <c r="G70" s="11"/>
    </row>
    <row r="71" spans="1:7">
      <c r="A71" s="11" t="s">
        <v>354</v>
      </c>
      <c r="B71" s="3">
        <v>2600000</v>
      </c>
      <c r="C71" s="11">
        <v>0</v>
      </c>
      <c r="D71" s="11">
        <f t="shared" si="3"/>
        <v>1070</v>
      </c>
      <c r="E71" s="11">
        <f t="shared" si="4"/>
        <v>1</v>
      </c>
      <c r="F71" s="11">
        <f t="shared" si="5"/>
        <v>2779400000</v>
      </c>
      <c r="G71" s="11"/>
    </row>
    <row r="72" spans="1:7">
      <c r="A72" s="11" t="s">
        <v>354</v>
      </c>
      <c r="B72" s="3">
        <v>-1000000</v>
      </c>
      <c r="C72" s="11">
        <v>2</v>
      </c>
      <c r="D72" s="11">
        <f t="shared" si="3"/>
        <v>1070</v>
      </c>
      <c r="E72" s="11">
        <f t="shared" si="4"/>
        <v>0</v>
      </c>
      <c r="F72" s="11">
        <f t="shared" si="5"/>
        <v>-1070000000</v>
      </c>
      <c r="G72" s="11"/>
    </row>
    <row r="73" spans="1:7">
      <c r="A73" s="11" t="s">
        <v>353</v>
      </c>
      <c r="B73" s="3">
        <v>15000000</v>
      </c>
      <c r="C73" s="11">
        <v>5</v>
      </c>
      <c r="D73" s="11">
        <f t="shared" si="3"/>
        <v>1068</v>
      </c>
      <c r="E73" s="11">
        <f t="shared" si="4"/>
        <v>1</v>
      </c>
      <c r="F73" s="11">
        <f t="shared" si="5"/>
        <v>16005000000</v>
      </c>
      <c r="G73" s="11"/>
    </row>
    <row r="74" spans="1:7">
      <c r="A74" s="23" t="s">
        <v>277</v>
      </c>
      <c r="B74" s="3">
        <v>-15004200</v>
      </c>
      <c r="C74" s="11">
        <v>2</v>
      </c>
      <c r="D74" s="11">
        <f t="shared" si="3"/>
        <v>1063</v>
      </c>
      <c r="E74" s="11">
        <f t="shared" si="4"/>
        <v>0</v>
      </c>
      <c r="F74" s="11">
        <f t="shared" si="5"/>
        <v>-15949464600</v>
      </c>
      <c r="G74" s="11"/>
    </row>
    <row r="75" spans="1:7">
      <c r="A75" s="11" t="s">
        <v>275</v>
      </c>
      <c r="B75" s="3">
        <v>-3000000</v>
      </c>
      <c r="C75" s="11">
        <v>0</v>
      </c>
      <c r="D75" s="11">
        <f t="shared" si="3"/>
        <v>1061</v>
      </c>
      <c r="E75" s="11">
        <f t="shared" si="4"/>
        <v>0</v>
      </c>
      <c r="F75" s="11">
        <f t="shared" si="5"/>
        <v>-3183000000</v>
      </c>
      <c r="G75" s="11"/>
    </row>
    <row r="76" spans="1:7">
      <c r="A76" s="11" t="s">
        <v>275</v>
      </c>
      <c r="B76" s="3">
        <v>-200000</v>
      </c>
      <c r="C76" s="11">
        <v>0</v>
      </c>
      <c r="D76" s="11">
        <f t="shared" si="3"/>
        <v>1061</v>
      </c>
      <c r="E76" s="11">
        <f t="shared" si="4"/>
        <v>0</v>
      </c>
      <c r="F76" s="11">
        <f t="shared" si="5"/>
        <v>-212200000</v>
      </c>
      <c r="G76" s="11"/>
    </row>
    <row r="77" spans="1:7">
      <c r="A77" s="23" t="s">
        <v>275</v>
      </c>
      <c r="B77" s="3">
        <v>-12003000</v>
      </c>
      <c r="C77" s="11">
        <v>4</v>
      </c>
      <c r="D77" s="11">
        <f t="shared" si="3"/>
        <v>1061</v>
      </c>
      <c r="E77" s="11">
        <f t="shared" si="4"/>
        <v>0</v>
      </c>
      <c r="F77" s="11">
        <f t="shared" si="5"/>
        <v>-12735183000</v>
      </c>
      <c r="G77" s="11"/>
    </row>
    <row r="78" spans="1:7">
      <c r="A78" s="23" t="s">
        <v>228</v>
      </c>
      <c r="B78" s="3">
        <v>-3000900</v>
      </c>
      <c r="C78" s="11">
        <v>5</v>
      </c>
      <c r="D78" s="11">
        <f t="shared" si="3"/>
        <v>1057</v>
      </c>
      <c r="E78" s="11">
        <f t="shared" si="4"/>
        <v>0</v>
      </c>
      <c r="F78" s="11">
        <f t="shared" si="5"/>
        <v>-3171951300</v>
      </c>
      <c r="G78" s="11"/>
    </row>
    <row r="79" spans="1:7">
      <c r="A79" s="11" t="s">
        <v>352</v>
      </c>
      <c r="B79" s="3">
        <v>23000000</v>
      </c>
      <c r="C79" s="11">
        <v>5</v>
      </c>
      <c r="D79" s="11">
        <f t="shared" si="3"/>
        <v>1052</v>
      </c>
      <c r="E79" s="11">
        <f t="shared" si="4"/>
        <v>1</v>
      </c>
      <c r="F79" s="11">
        <f t="shared" si="5"/>
        <v>24173000000</v>
      </c>
      <c r="G79" s="11"/>
    </row>
    <row r="80" spans="1:7">
      <c r="A80" s="23" t="s">
        <v>237</v>
      </c>
      <c r="B80" s="3">
        <v>-600500</v>
      </c>
      <c r="C80" s="11">
        <v>0</v>
      </c>
      <c r="D80" s="11">
        <f t="shared" si="3"/>
        <v>1047</v>
      </c>
      <c r="E80" s="11">
        <f t="shared" si="4"/>
        <v>0</v>
      </c>
      <c r="F80" s="11">
        <f t="shared" si="5"/>
        <v>-628723500</v>
      </c>
      <c r="G80" s="11"/>
    </row>
    <row r="81" spans="1:10">
      <c r="A81" s="20" t="s">
        <v>237</v>
      </c>
      <c r="B81" s="3">
        <v>-200000</v>
      </c>
      <c r="C81" s="11">
        <v>1</v>
      </c>
      <c r="D81" s="11">
        <f t="shared" si="3"/>
        <v>1047</v>
      </c>
      <c r="E81" s="11">
        <f t="shared" si="4"/>
        <v>0</v>
      </c>
      <c r="F81" s="11">
        <f t="shared" si="5"/>
        <v>-209400000</v>
      </c>
      <c r="G81" s="11"/>
    </row>
    <row r="82" spans="1:10">
      <c r="A82" s="11" t="s">
        <v>241</v>
      </c>
      <c r="B82" s="3">
        <v>283221</v>
      </c>
      <c r="C82" s="11">
        <v>0</v>
      </c>
      <c r="D82" s="11">
        <f t="shared" si="3"/>
        <v>1046</v>
      </c>
      <c r="E82" s="11">
        <f t="shared" si="4"/>
        <v>1</v>
      </c>
      <c r="F82" s="11">
        <f t="shared" si="5"/>
        <v>295965945</v>
      </c>
      <c r="G82" s="11" t="s">
        <v>242</v>
      </c>
    </row>
    <row r="83" spans="1:10">
      <c r="A83" s="11" t="s">
        <v>241</v>
      </c>
      <c r="B83" s="3">
        <v>-200000</v>
      </c>
      <c r="C83" s="11">
        <v>2</v>
      </c>
      <c r="D83" s="11">
        <f t="shared" si="3"/>
        <v>1046</v>
      </c>
      <c r="E83" s="11">
        <f t="shared" si="4"/>
        <v>0</v>
      </c>
      <c r="F83" s="11">
        <f t="shared" si="5"/>
        <v>-209200000</v>
      </c>
      <c r="G83" s="11"/>
    </row>
    <row r="84" spans="1:10">
      <c r="A84" s="11" t="s">
        <v>351</v>
      </c>
      <c r="B84" s="3">
        <v>2000000</v>
      </c>
      <c r="C84" s="11">
        <v>3</v>
      </c>
      <c r="D84" s="11">
        <f t="shared" si="3"/>
        <v>1044</v>
      </c>
      <c r="E84" s="11">
        <f t="shared" si="4"/>
        <v>1</v>
      </c>
      <c r="F84" s="11">
        <f t="shared" si="5"/>
        <v>2086000000</v>
      </c>
      <c r="G84" s="11"/>
    </row>
    <row r="85" spans="1:10">
      <c r="A85" s="11" t="s">
        <v>245</v>
      </c>
      <c r="B85" s="3">
        <v>-200000</v>
      </c>
      <c r="C85" s="11">
        <v>6</v>
      </c>
      <c r="D85" s="11">
        <f t="shared" si="3"/>
        <v>1041</v>
      </c>
      <c r="E85" s="11">
        <f t="shared" si="4"/>
        <v>0</v>
      </c>
      <c r="F85" s="11">
        <f t="shared" si="5"/>
        <v>-208200000</v>
      </c>
      <c r="G85" s="11"/>
    </row>
    <row r="86" spans="1:10">
      <c r="A86" s="11" t="s">
        <v>350</v>
      </c>
      <c r="B86" s="3">
        <v>-200000</v>
      </c>
      <c r="C86" s="11">
        <v>2</v>
      </c>
      <c r="D86" s="11">
        <f t="shared" si="3"/>
        <v>1035</v>
      </c>
      <c r="E86" s="11">
        <f t="shared" si="4"/>
        <v>0</v>
      </c>
      <c r="F86" s="11">
        <f t="shared" si="5"/>
        <v>-207000000</v>
      </c>
      <c r="G86" s="11"/>
    </row>
    <row r="87" spans="1:10">
      <c r="A87" s="11" t="s">
        <v>250</v>
      </c>
      <c r="B87" s="3">
        <v>-1325000</v>
      </c>
      <c r="C87" s="11">
        <v>15</v>
      </c>
      <c r="D87" s="11">
        <f t="shared" si="3"/>
        <v>1033</v>
      </c>
      <c r="E87" s="11">
        <f t="shared" si="4"/>
        <v>0</v>
      </c>
      <c r="F87" s="11">
        <f t="shared" si="5"/>
        <v>-1368725000</v>
      </c>
      <c r="G87" s="11"/>
    </row>
    <row r="88" spans="1:10">
      <c r="A88" s="11" t="s">
        <v>349</v>
      </c>
      <c r="B88" s="3">
        <v>-500000</v>
      </c>
      <c r="C88" s="11">
        <v>0</v>
      </c>
      <c r="D88" s="11">
        <f t="shared" si="3"/>
        <v>1018</v>
      </c>
      <c r="E88" s="11">
        <f t="shared" si="4"/>
        <v>0</v>
      </c>
      <c r="F88" s="11">
        <f t="shared" si="5"/>
        <v>-509000000</v>
      </c>
      <c r="G88" s="11"/>
    </row>
    <row r="89" spans="1:10">
      <c r="A89" s="11" t="s">
        <v>348</v>
      </c>
      <c r="B89" s="3">
        <v>-120000</v>
      </c>
      <c r="C89" s="11">
        <v>2</v>
      </c>
      <c r="D89" s="11">
        <f t="shared" si="3"/>
        <v>1018</v>
      </c>
      <c r="E89" s="11">
        <f t="shared" si="4"/>
        <v>0</v>
      </c>
      <c r="F89" s="11">
        <f t="shared" si="5"/>
        <v>-122160000</v>
      </c>
      <c r="G89" s="11"/>
    </row>
    <row r="90" spans="1:10">
      <c r="A90" s="11" t="s">
        <v>262</v>
      </c>
      <c r="B90" s="3">
        <v>428205</v>
      </c>
      <c r="C90" s="11">
        <v>3</v>
      </c>
      <c r="D90" s="11">
        <f t="shared" si="3"/>
        <v>1016</v>
      </c>
      <c r="E90" s="11">
        <f t="shared" si="4"/>
        <v>1</v>
      </c>
      <c r="F90" s="11">
        <f t="shared" si="5"/>
        <v>434628075</v>
      </c>
      <c r="G90" s="11" t="s">
        <v>264</v>
      </c>
    </row>
    <row r="91" spans="1:10">
      <c r="A91" s="23" t="s">
        <v>263</v>
      </c>
      <c r="B91" s="3">
        <v>-3002000</v>
      </c>
      <c r="C91" s="11">
        <v>2</v>
      </c>
      <c r="D91" s="11">
        <f t="shared" si="3"/>
        <v>1013</v>
      </c>
      <c r="E91" s="11">
        <f t="shared" si="4"/>
        <v>0</v>
      </c>
      <c r="F91" s="11">
        <f t="shared" si="5"/>
        <v>-3041026000</v>
      </c>
      <c r="G91" s="11" t="s">
        <v>337</v>
      </c>
    </row>
    <row r="92" spans="1:10">
      <c r="A92" s="23" t="s">
        <v>336</v>
      </c>
      <c r="B92" s="3">
        <v>-205000</v>
      </c>
      <c r="C92" s="11">
        <v>0</v>
      </c>
      <c r="D92" s="11">
        <f t="shared" si="3"/>
        <v>1011</v>
      </c>
      <c r="E92" s="11">
        <f t="shared" si="4"/>
        <v>0</v>
      </c>
      <c r="F92" s="11">
        <f t="shared" si="5"/>
        <v>-207255000</v>
      </c>
      <c r="G92" s="11" t="s">
        <v>338</v>
      </c>
    </row>
    <row r="93" spans="1:10">
      <c r="A93" s="11" t="s">
        <v>334</v>
      </c>
      <c r="B93" s="3">
        <v>-350500</v>
      </c>
      <c r="C93" s="11">
        <v>11</v>
      </c>
      <c r="D93" s="11">
        <f t="shared" si="3"/>
        <v>1011</v>
      </c>
      <c r="E93" s="11">
        <f t="shared" si="4"/>
        <v>0</v>
      </c>
      <c r="F93" s="11">
        <f t="shared" si="5"/>
        <v>-354355500</v>
      </c>
      <c r="G93" s="11" t="s">
        <v>335</v>
      </c>
    </row>
    <row r="94" spans="1:10">
      <c r="A94" s="11" t="s">
        <v>332</v>
      </c>
      <c r="B94" s="3">
        <v>1000000</v>
      </c>
      <c r="C94" s="11">
        <v>5</v>
      </c>
      <c r="D94" s="11">
        <f t="shared" si="3"/>
        <v>1000</v>
      </c>
      <c r="E94" s="11">
        <f t="shared" si="4"/>
        <v>1</v>
      </c>
      <c r="F94" s="11">
        <f t="shared" si="5"/>
        <v>999000000</v>
      </c>
      <c r="G94" s="11" t="s">
        <v>333</v>
      </c>
    </row>
    <row r="95" spans="1:10">
      <c r="A95" s="11" t="s">
        <v>343</v>
      </c>
      <c r="B95" s="3">
        <v>9000000</v>
      </c>
      <c r="C95" s="11">
        <v>2</v>
      </c>
      <c r="D95" s="11">
        <f t="shared" si="3"/>
        <v>995</v>
      </c>
      <c r="E95" s="11">
        <f t="shared" si="4"/>
        <v>1</v>
      </c>
      <c r="F95" s="11">
        <f t="shared" si="5"/>
        <v>8946000000</v>
      </c>
      <c r="G95" s="11" t="s">
        <v>345</v>
      </c>
      <c r="J95" s="26"/>
    </row>
    <row r="96" spans="1:10">
      <c r="A96" s="11" t="s">
        <v>346</v>
      </c>
      <c r="B96" s="3">
        <v>-26000000</v>
      </c>
      <c r="C96" s="11">
        <v>0</v>
      </c>
      <c r="D96" s="11">
        <f t="shared" si="3"/>
        <v>993</v>
      </c>
      <c r="E96" s="11">
        <f t="shared" si="4"/>
        <v>0</v>
      </c>
      <c r="F96" s="11">
        <f t="shared" si="5"/>
        <v>-25818000000</v>
      </c>
      <c r="G96" s="11" t="s">
        <v>347</v>
      </c>
    </row>
    <row r="97" spans="1:9">
      <c r="A97" s="11" t="s">
        <v>346</v>
      </c>
      <c r="B97" s="3">
        <v>-26000000</v>
      </c>
      <c r="C97" s="11">
        <v>0</v>
      </c>
      <c r="D97" s="11">
        <f t="shared" si="3"/>
        <v>993</v>
      </c>
      <c r="E97" s="11">
        <f t="shared" si="4"/>
        <v>0</v>
      </c>
      <c r="F97" s="11">
        <f t="shared" si="5"/>
        <v>-25818000000</v>
      </c>
      <c r="G97" s="11"/>
    </row>
    <row r="98" spans="1:9">
      <c r="A98" s="11" t="s">
        <v>346</v>
      </c>
      <c r="B98" s="3">
        <v>26000000</v>
      </c>
      <c r="C98" s="11">
        <v>0</v>
      </c>
      <c r="D98" s="11">
        <f t="shared" si="3"/>
        <v>993</v>
      </c>
      <c r="E98" s="11">
        <f t="shared" si="4"/>
        <v>1</v>
      </c>
      <c r="F98" s="11">
        <f t="shared" si="5"/>
        <v>25792000000</v>
      </c>
      <c r="G98" s="11"/>
    </row>
    <row r="99" spans="1:9">
      <c r="A99" s="11" t="s">
        <v>346</v>
      </c>
      <c r="B99" s="3">
        <v>-200000</v>
      </c>
      <c r="C99" s="11">
        <v>2</v>
      </c>
      <c r="D99" s="11">
        <f t="shared" si="3"/>
        <v>993</v>
      </c>
      <c r="E99" s="11">
        <f t="shared" si="4"/>
        <v>0</v>
      </c>
      <c r="F99" s="11">
        <f t="shared" si="5"/>
        <v>-198600000</v>
      </c>
      <c r="G99" s="11"/>
      <c r="I99" t="s">
        <v>25</v>
      </c>
    </row>
    <row r="100" spans="1:9">
      <c r="A100" s="11" t="s">
        <v>398</v>
      </c>
      <c r="B100" s="3">
        <v>29200000</v>
      </c>
      <c r="C100" s="11">
        <v>5</v>
      </c>
      <c r="D100" s="11">
        <f t="shared" si="3"/>
        <v>991</v>
      </c>
      <c r="E100" s="11">
        <f t="shared" si="4"/>
        <v>1</v>
      </c>
      <c r="F100" s="11">
        <f t="shared" si="5"/>
        <v>28908000000</v>
      </c>
      <c r="G100" s="11"/>
    </row>
    <row r="101" spans="1:9">
      <c r="A101" s="11" t="s">
        <v>399</v>
      </c>
      <c r="B101" s="3">
        <v>399945</v>
      </c>
      <c r="C101" s="11">
        <v>1</v>
      </c>
      <c r="D101" s="11">
        <f t="shared" si="3"/>
        <v>986</v>
      </c>
      <c r="E101" s="11">
        <f t="shared" si="4"/>
        <v>1</v>
      </c>
      <c r="F101" s="11">
        <f t="shared" si="5"/>
        <v>393945825</v>
      </c>
      <c r="G101" s="11" t="s">
        <v>400</v>
      </c>
    </row>
    <row r="102" spans="1:9">
      <c r="A102" s="11" t="s">
        <v>401</v>
      </c>
      <c r="B102" s="3">
        <v>2000000</v>
      </c>
      <c r="C102" s="11">
        <v>1</v>
      </c>
      <c r="D102" s="11">
        <f t="shared" si="3"/>
        <v>985</v>
      </c>
      <c r="E102" s="11">
        <f t="shared" si="4"/>
        <v>1</v>
      </c>
      <c r="F102" s="11">
        <f t="shared" si="5"/>
        <v>1968000000</v>
      </c>
      <c r="G102" s="11" t="s">
        <v>402</v>
      </c>
    </row>
    <row r="103" spans="1:9">
      <c r="A103" s="11" t="s">
        <v>409</v>
      </c>
      <c r="B103" s="3">
        <v>7500000</v>
      </c>
      <c r="C103" s="11">
        <v>0</v>
      </c>
      <c r="D103" s="11">
        <f t="shared" si="3"/>
        <v>984</v>
      </c>
      <c r="E103" s="11">
        <f t="shared" si="4"/>
        <v>1</v>
      </c>
      <c r="F103" s="11">
        <f t="shared" si="5"/>
        <v>7372500000</v>
      </c>
      <c r="G103" s="11" t="s">
        <v>410</v>
      </c>
    </row>
    <row r="104" spans="1:9">
      <c r="A104" s="11" t="s">
        <v>409</v>
      </c>
      <c r="B104" s="3">
        <v>-66000000</v>
      </c>
      <c r="C104" s="11">
        <v>0</v>
      </c>
      <c r="D104" s="11">
        <f t="shared" si="3"/>
        <v>984</v>
      </c>
      <c r="E104" s="11">
        <f t="shared" si="4"/>
        <v>0</v>
      </c>
      <c r="F104" s="11">
        <f t="shared" si="5"/>
        <v>-64944000000</v>
      </c>
      <c r="G104" s="11" t="s">
        <v>424</v>
      </c>
    </row>
    <row r="105" spans="1:9">
      <c r="A105" s="11" t="s">
        <v>409</v>
      </c>
      <c r="B105" s="3">
        <v>-145000</v>
      </c>
      <c r="C105" s="11">
        <v>2</v>
      </c>
      <c r="D105" s="11">
        <f t="shared" si="3"/>
        <v>984</v>
      </c>
      <c r="E105" s="11">
        <f t="shared" si="4"/>
        <v>0</v>
      </c>
      <c r="F105" s="11">
        <f t="shared" si="5"/>
        <v>-142680000</v>
      </c>
      <c r="G105" s="11" t="s">
        <v>425</v>
      </c>
    </row>
    <row r="106" spans="1:9">
      <c r="A106" s="11" t="s">
        <v>421</v>
      </c>
      <c r="B106" s="3">
        <v>6000000</v>
      </c>
      <c r="C106" s="11">
        <v>2</v>
      </c>
      <c r="D106" s="11">
        <f t="shared" si="3"/>
        <v>982</v>
      </c>
      <c r="E106" s="11">
        <f t="shared" si="4"/>
        <v>1</v>
      </c>
      <c r="F106" s="11">
        <f t="shared" si="5"/>
        <v>5886000000</v>
      </c>
      <c r="G106" s="11" t="s">
        <v>426</v>
      </c>
    </row>
    <row r="107" spans="1:9">
      <c r="A107" s="11" t="s">
        <v>434</v>
      </c>
      <c r="B107" s="3">
        <v>-6005900</v>
      </c>
      <c r="C107" s="11">
        <v>3</v>
      </c>
      <c r="D107" s="11">
        <f t="shared" si="3"/>
        <v>980</v>
      </c>
      <c r="E107" s="11">
        <f t="shared" si="4"/>
        <v>0</v>
      </c>
      <c r="F107" s="11">
        <f t="shared" si="5"/>
        <v>-5885782000</v>
      </c>
      <c r="G107" s="11" t="s">
        <v>436</v>
      </c>
    </row>
    <row r="108" spans="1:9">
      <c r="A108" s="11" t="s">
        <v>439</v>
      </c>
      <c r="B108" s="3">
        <v>6000000</v>
      </c>
      <c r="C108" s="11">
        <v>12</v>
      </c>
      <c r="D108" s="11">
        <f t="shared" si="3"/>
        <v>977</v>
      </c>
      <c r="E108" s="11">
        <f t="shared" si="4"/>
        <v>1</v>
      </c>
      <c r="F108" s="11">
        <f t="shared" si="5"/>
        <v>5856000000</v>
      </c>
      <c r="G108" s="11" t="s">
        <v>444</v>
      </c>
    </row>
    <row r="109" spans="1:9">
      <c r="A109" s="11" t="s">
        <v>458</v>
      </c>
      <c r="B109" s="3">
        <v>-120000</v>
      </c>
      <c r="C109" s="11">
        <v>1</v>
      </c>
      <c r="D109" s="11">
        <f t="shared" si="3"/>
        <v>965</v>
      </c>
      <c r="E109" s="11">
        <f t="shared" si="4"/>
        <v>0</v>
      </c>
      <c r="F109" s="11">
        <f t="shared" si="5"/>
        <v>-115800000</v>
      </c>
      <c r="G109" s="11" t="s">
        <v>459</v>
      </c>
    </row>
    <row r="110" spans="1:9">
      <c r="A110" s="11" t="s">
        <v>460</v>
      </c>
      <c r="B110" s="3">
        <v>4000000</v>
      </c>
      <c r="C110" s="11">
        <v>1</v>
      </c>
      <c r="D110" s="11">
        <f t="shared" si="3"/>
        <v>964</v>
      </c>
      <c r="E110" s="11">
        <f t="shared" si="4"/>
        <v>1</v>
      </c>
      <c r="F110" s="11">
        <f t="shared" si="5"/>
        <v>3852000000</v>
      </c>
      <c r="G110" s="11" t="s">
        <v>461</v>
      </c>
    </row>
    <row r="111" spans="1:9">
      <c r="A111" s="11" t="s">
        <v>465</v>
      </c>
      <c r="B111" s="3">
        <v>2800000</v>
      </c>
      <c r="C111" s="11">
        <v>4</v>
      </c>
      <c r="D111" s="11">
        <f t="shared" si="3"/>
        <v>963</v>
      </c>
      <c r="E111" s="11">
        <f t="shared" si="4"/>
        <v>1</v>
      </c>
      <c r="F111" s="11">
        <f t="shared" si="5"/>
        <v>2693600000</v>
      </c>
      <c r="G111" s="11" t="s">
        <v>466</v>
      </c>
    </row>
    <row r="112" spans="1:9">
      <c r="A112" s="11" t="s">
        <v>470</v>
      </c>
      <c r="B112" s="3">
        <v>-200000</v>
      </c>
      <c r="C112" s="11">
        <v>1</v>
      </c>
      <c r="D112" s="11">
        <f t="shared" si="3"/>
        <v>959</v>
      </c>
      <c r="E112" s="11">
        <f t="shared" si="4"/>
        <v>0</v>
      </c>
      <c r="F112" s="11">
        <f t="shared" si="5"/>
        <v>-191800000</v>
      </c>
      <c r="G112" s="11" t="s">
        <v>472</v>
      </c>
    </row>
    <row r="113" spans="1:10">
      <c r="A113" s="11" t="s">
        <v>471</v>
      </c>
      <c r="B113" s="3">
        <v>72310</v>
      </c>
      <c r="C113" s="11">
        <v>17</v>
      </c>
      <c r="D113" s="11">
        <f t="shared" si="3"/>
        <v>958</v>
      </c>
      <c r="E113" s="11">
        <f t="shared" si="4"/>
        <v>1</v>
      </c>
      <c r="F113" s="11">
        <f t="shared" si="5"/>
        <v>69200670</v>
      </c>
      <c r="G113" s="11" t="s">
        <v>498</v>
      </c>
    </row>
    <row r="114" spans="1:10">
      <c r="A114" s="11" t="s">
        <v>494</v>
      </c>
      <c r="B114" s="3">
        <v>-200000</v>
      </c>
      <c r="C114" s="11">
        <v>1</v>
      </c>
      <c r="D114" s="11">
        <f t="shared" si="3"/>
        <v>941</v>
      </c>
      <c r="E114" s="11">
        <f t="shared" si="4"/>
        <v>0</v>
      </c>
      <c r="F114" s="11">
        <f t="shared" si="5"/>
        <v>-188200000</v>
      </c>
      <c r="G114" s="11" t="s">
        <v>459</v>
      </c>
      <c r="J114" t="s">
        <v>25</v>
      </c>
    </row>
    <row r="115" spans="1:10">
      <c r="A115" s="23" t="s">
        <v>495</v>
      </c>
      <c r="B115" s="35">
        <v>-11000000</v>
      </c>
      <c r="C115" s="23">
        <v>0</v>
      </c>
      <c r="D115" s="11">
        <f t="shared" si="3"/>
        <v>940</v>
      </c>
      <c r="E115" s="11">
        <f t="shared" si="4"/>
        <v>0</v>
      </c>
      <c r="F115" s="23">
        <f t="shared" si="5"/>
        <v>-10340000000</v>
      </c>
      <c r="G115" s="23" t="s">
        <v>499</v>
      </c>
    </row>
    <row r="116" spans="1:10">
      <c r="A116" s="11" t="s">
        <v>495</v>
      </c>
      <c r="B116" s="3">
        <v>-200000</v>
      </c>
      <c r="C116" s="11">
        <v>2</v>
      </c>
      <c r="D116" s="11">
        <f t="shared" si="3"/>
        <v>940</v>
      </c>
      <c r="E116" s="11">
        <f t="shared" si="4"/>
        <v>0</v>
      </c>
      <c r="F116" s="11">
        <f t="shared" si="5"/>
        <v>-188000000</v>
      </c>
      <c r="G116" s="11" t="s">
        <v>459</v>
      </c>
      <c r="I116" t="s">
        <v>25</v>
      </c>
    </row>
    <row r="117" spans="1:10">
      <c r="A117" s="11" t="s">
        <v>500</v>
      </c>
      <c r="B117" s="3">
        <v>-450500</v>
      </c>
      <c r="C117" s="11">
        <v>0</v>
      </c>
      <c r="D117" s="11">
        <f t="shared" si="3"/>
        <v>938</v>
      </c>
      <c r="E117" s="11">
        <f t="shared" si="4"/>
        <v>0</v>
      </c>
      <c r="F117" s="11">
        <f t="shared" si="5"/>
        <v>-422569000</v>
      </c>
      <c r="G117" s="11" t="s">
        <v>501</v>
      </c>
    </row>
    <row r="118" spans="1:10">
      <c r="A118" s="11" t="s">
        <v>500</v>
      </c>
      <c r="B118" s="3">
        <v>-200000</v>
      </c>
      <c r="C118" s="11">
        <v>6</v>
      </c>
      <c r="D118" s="11">
        <f t="shared" si="3"/>
        <v>938</v>
      </c>
      <c r="E118" s="11">
        <f t="shared" si="4"/>
        <v>0</v>
      </c>
      <c r="F118" s="11">
        <f t="shared" si="5"/>
        <v>-187600000</v>
      </c>
      <c r="G118" s="11" t="s">
        <v>502</v>
      </c>
      <c r="J118" t="s">
        <v>25</v>
      </c>
    </row>
    <row r="119" spans="1:10">
      <c r="A119" s="11" t="s">
        <v>504</v>
      </c>
      <c r="B119" s="3">
        <v>-154550</v>
      </c>
      <c r="C119" s="11">
        <v>0</v>
      </c>
      <c r="D119" s="11">
        <f t="shared" si="3"/>
        <v>932</v>
      </c>
      <c r="E119" s="11">
        <f t="shared" si="4"/>
        <v>0</v>
      </c>
      <c r="F119" s="11">
        <f t="shared" si="5"/>
        <v>-144040600</v>
      </c>
      <c r="G119" s="11" t="s">
        <v>505</v>
      </c>
    </row>
    <row r="120" spans="1:10">
      <c r="A120" s="11" t="s">
        <v>504</v>
      </c>
      <c r="B120" s="3">
        <v>-320</v>
      </c>
      <c r="C120" s="11">
        <v>1</v>
      </c>
      <c r="D120" s="11">
        <f t="shared" si="3"/>
        <v>932</v>
      </c>
      <c r="E120" s="11">
        <f t="shared" si="4"/>
        <v>0</v>
      </c>
      <c r="F120" s="11">
        <f t="shared" si="5"/>
        <v>-298240</v>
      </c>
      <c r="G120" s="11" t="s">
        <v>506</v>
      </c>
    </row>
    <row r="121" spans="1:10">
      <c r="A121" s="11" t="s">
        <v>507</v>
      </c>
      <c r="B121" s="3">
        <v>-432000</v>
      </c>
      <c r="C121" s="11">
        <v>6</v>
      </c>
      <c r="D121" s="11">
        <f t="shared" si="3"/>
        <v>931</v>
      </c>
      <c r="E121" s="11">
        <f t="shared" si="4"/>
        <v>0</v>
      </c>
      <c r="F121" s="11">
        <f t="shared" si="5"/>
        <v>-402192000</v>
      </c>
      <c r="G121" s="11" t="s">
        <v>508</v>
      </c>
    </row>
    <row r="122" spans="1:10">
      <c r="A122" s="11" t="s">
        <v>509</v>
      </c>
      <c r="B122" s="3">
        <v>74043</v>
      </c>
      <c r="C122" s="11">
        <v>21</v>
      </c>
      <c r="D122" s="11">
        <f t="shared" si="3"/>
        <v>925</v>
      </c>
      <c r="E122" s="11">
        <f t="shared" si="4"/>
        <v>1</v>
      </c>
      <c r="F122" s="11">
        <f t="shared" si="5"/>
        <v>68415732</v>
      </c>
      <c r="G122" s="11" t="s">
        <v>510</v>
      </c>
    </row>
    <row r="123" spans="1:10">
      <c r="A123" s="11" t="s">
        <v>532</v>
      </c>
      <c r="B123" s="3">
        <v>-52000</v>
      </c>
      <c r="C123" s="11">
        <v>41</v>
      </c>
      <c r="D123" s="11">
        <f t="shared" si="3"/>
        <v>904</v>
      </c>
      <c r="E123" s="11">
        <f t="shared" si="4"/>
        <v>0</v>
      </c>
      <c r="F123" s="11">
        <f t="shared" si="5"/>
        <v>-47008000</v>
      </c>
      <c r="G123" s="11" t="s">
        <v>534</v>
      </c>
    </row>
    <row r="124" spans="1:10">
      <c r="A124" s="11" t="s">
        <v>584</v>
      </c>
      <c r="B124" s="3">
        <v>1187</v>
      </c>
      <c r="C124" s="11">
        <v>1</v>
      </c>
      <c r="D124" s="11">
        <f t="shared" si="3"/>
        <v>863</v>
      </c>
      <c r="E124" s="11">
        <f t="shared" si="4"/>
        <v>1</v>
      </c>
      <c r="F124" s="11">
        <f t="shared" si="5"/>
        <v>1023194</v>
      </c>
      <c r="G124" s="11" t="s">
        <v>585</v>
      </c>
    </row>
    <row r="125" spans="1:10">
      <c r="A125" s="11" t="s">
        <v>582</v>
      </c>
      <c r="B125" s="3">
        <v>2400000</v>
      </c>
      <c r="C125" s="11">
        <v>2</v>
      </c>
      <c r="D125" s="11">
        <f t="shared" si="3"/>
        <v>862</v>
      </c>
      <c r="E125" s="11">
        <f t="shared" si="4"/>
        <v>1</v>
      </c>
      <c r="F125" s="11">
        <f t="shared" si="5"/>
        <v>2066400000</v>
      </c>
      <c r="G125" s="11" t="s">
        <v>583</v>
      </c>
    </row>
    <row r="126" spans="1:10">
      <c r="A126" s="11" t="s">
        <v>591</v>
      </c>
      <c r="B126" s="3">
        <v>1342800</v>
      </c>
      <c r="C126" s="11">
        <v>0</v>
      </c>
      <c r="D126" s="11">
        <f t="shared" si="3"/>
        <v>860</v>
      </c>
      <c r="E126" s="11">
        <f t="shared" si="4"/>
        <v>1</v>
      </c>
      <c r="F126" s="11">
        <f t="shared" si="5"/>
        <v>1153465200</v>
      </c>
      <c r="G126" s="11" t="s">
        <v>592</v>
      </c>
    </row>
    <row r="127" spans="1:10">
      <c r="A127" s="11" t="s">
        <v>591</v>
      </c>
      <c r="B127" s="3">
        <v>1342800</v>
      </c>
      <c r="C127" s="11">
        <v>12</v>
      </c>
      <c r="D127" s="11">
        <f t="shared" si="3"/>
        <v>860</v>
      </c>
      <c r="E127" s="11">
        <f t="shared" si="4"/>
        <v>1</v>
      </c>
      <c r="F127" s="11">
        <f t="shared" si="5"/>
        <v>1153465200</v>
      </c>
      <c r="G127" s="11" t="s">
        <v>593</v>
      </c>
    </row>
    <row r="128" spans="1:10">
      <c r="A128" s="11" t="s">
        <v>600</v>
      </c>
      <c r="B128" s="3">
        <v>-200000</v>
      </c>
      <c r="C128" s="11">
        <v>2</v>
      </c>
      <c r="D128" s="11">
        <f t="shared" si="3"/>
        <v>848</v>
      </c>
      <c r="E128" s="11">
        <f t="shared" si="4"/>
        <v>0</v>
      </c>
      <c r="F128" s="11">
        <f t="shared" si="5"/>
        <v>-169600000</v>
      </c>
      <c r="G128" s="11" t="s">
        <v>158</v>
      </c>
    </row>
    <row r="129" spans="1:11">
      <c r="A129" s="11" t="s">
        <v>601</v>
      </c>
      <c r="B129" s="3">
        <v>-15618</v>
      </c>
      <c r="C129" s="11">
        <v>1</v>
      </c>
      <c r="D129" s="11">
        <f t="shared" si="3"/>
        <v>846</v>
      </c>
      <c r="E129" s="11">
        <f t="shared" si="4"/>
        <v>0</v>
      </c>
      <c r="F129" s="11">
        <f>B129*(D129-E129)</f>
        <v>-13212828</v>
      </c>
      <c r="G129" s="11" t="s">
        <v>602</v>
      </c>
      <c r="K129" t="s">
        <v>25</v>
      </c>
    </row>
    <row r="130" spans="1:11">
      <c r="A130" s="11" t="s">
        <v>603</v>
      </c>
      <c r="B130" s="3">
        <v>-200000</v>
      </c>
      <c r="C130" s="11">
        <v>1</v>
      </c>
      <c r="D130" s="11">
        <f t="shared" ref="D130:D185" si="6">D131+C130</f>
        <v>845</v>
      </c>
      <c r="E130" s="11">
        <f t="shared" si="4"/>
        <v>0</v>
      </c>
      <c r="F130" s="11">
        <f t="shared" si="5"/>
        <v>-169000000</v>
      </c>
      <c r="G130" s="11" t="s">
        <v>502</v>
      </c>
    </row>
    <row r="131" spans="1:11">
      <c r="A131" s="11" t="s">
        <v>605</v>
      </c>
      <c r="B131" s="3">
        <v>-200000</v>
      </c>
      <c r="C131" s="11">
        <v>1</v>
      </c>
      <c r="D131" s="11">
        <f t="shared" si="6"/>
        <v>844</v>
      </c>
      <c r="E131" s="11">
        <f t="shared" ref="E131:E248" si="7">IF(B131&gt;0,1,0)</f>
        <v>0</v>
      </c>
      <c r="F131" s="11">
        <f t="shared" si="5"/>
        <v>-168800000</v>
      </c>
      <c r="G131" s="11" t="s">
        <v>606</v>
      </c>
    </row>
    <row r="132" spans="1:11">
      <c r="A132" s="11" t="s">
        <v>607</v>
      </c>
      <c r="B132" s="3">
        <v>-390000</v>
      </c>
      <c r="C132" s="11">
        <v>0</v>
      </c>
      <c r="D132" s="11">
        <f t="shared" si="6"/>
        <v>843</v>
      </c>
      <c r="E132" s="11">
        <f t="shared" si="7"/>
        <v>0</v>
      </c>
      <c r="F132" s="11">
        <f t="shared" si="5"/>
        <v>-328770000</v>
      </c>
      <c r="G132" s="11" t="s">
        <v>608</v>
      </c>
    </row>
    <row r="133" spans="1:11">
      <c r="A133" s="11" t="s">
        <v>607</v>
      </c>
      <c r="B133" s="3">
        <v>-24500</v>
      </c>
      <c r="C133" s="11">
        <v>1</v>
      </c>
      <c r="D133" s="11">
        <f t="shared" si="6"/>
        <v>843</v>
      </c>
      <c r="E133" s="11">
        <f t="shared" si="7"/>
        <v>0</v>
      </c>
      <c r="F133" s="11">
        <f t="shared" si="5"/>
        <v>-20653500</v>
      </c>
      <c r="G133" s="11" t="s">
        <v>609</v>
      </c>
    </row>
    <row r="134" spans="1:11">
      <c r="A134" s="11" t="s">
        <v>610</v>
      </c>
      <c r="B134" s="3">
        <v>-95000</v>
      </c>
      <c r="C134" s="11">
        <v>4</v>
      </c>
      <c r="D134" s="11">
        <f t="shared" si="6"/>
        <v>842</v>
      </c>
      <c r="E134" s="11">
        <f t="shared" si="7"/>
        <v>0</v>
      </c>
      <c r="F134" s="11">
        <f t="shared" si="5"/>
        <v>-79990000</v>
      </c>
      <c r="G134" s="11" t="s">
        <v>459</v>
      </c>
    </row>
    <row r="135" spans="1:11">
      <c r="A135" s="11" t="s">
        <v>612</v>
      </c>
      <c r="B135" s="3">
        <v>-200000</v>
      </c>
      <c r="C135" s="11">
        <v>2</v>
      </c>
      <c r="D135" s="11">
        <f t="shared" si="6"/>
        <v>838</v>
      </c>
      <c r="E135" s="11">
        <f t="shared" si="7"/>
        <v>0</v>
      </c>
      <c r="F135" s="11">
        <f t="shared" si="5"/>
        <v>-167600000</v>
      </c>
      <c r="G135" s="11" t="s">
        <v>613</v>
      </c>
    </row>
    <row r="136" spans="1:11">
      <c r="A136" s="11" t="s">
        <v>615</v>
      </c>
      <c r="B136" s="3">
        <v>50000000</v>
      </c>
      <c r="C136" s="11">
        <v>1</v>
      </c>
      <c r="D136" s="11">
        <f t="shared" si="6"/>
        <v>836</v>
      </c>
      <c r="E136" s="11">
        <f t="shared" si="7"/>
        <v>1</v>
      </c>
      <c r="F136" s="11">
        <f t="shared" si="5"/>
        <v>41750000000</v>
      </c>
      <c r="G136" s="11" t="s">
        <v>616</v>
      </c>
    </row>
    <row r="137" spans="1:11">
      <c r="A137" s="11" t="s">
        <v>621</v>
      </c>
      <c r="B137" s="3">
        <v>12000000</v>
      </c>
      <c r="C137" s="11">
        <v>2</v>
      </c>
      <c r="D137" s="11">
        <f t="shared" si="6"/>
        <v>835</v>
      </c>
      <c r="E137" s="11">
        <f t="shared" si="7"/>
        <v>1</v>
      </c>
      <c r="F137" s="11">
        <f t="shared" si="5"/>
        <v>10008000000</v>
      </c>
      <c r="G137" s="11" t="s">
        <v>616</v>
      </c>
    </row>
    <row r="138" spans="1:11">
      <c r="A138" s="11" t="s">
        <v>623</v>
      </c>
      <c r="B138" s="3">
        <v>2000000</v>
      </c>
      <c r="C138" s="11">
        <v>1</v>
      </c>
      <c r="D138" s="11">
        <f t="shared" si="6"/>
        <v>833</v>
      </c>
      <c r="E138" s="11">
        <f t="shared" si="7"/>
        <v>1</v>
      </c>
      <c r="F138" s="11">
        <f t="shared" si="5"/>
        <v>1664000000</v>
      </c>
      <c r="G138" s="11" t="s">
        <v>625</v>
      </c>
    </row>
    <row r="139" spans="1:11">
      <c r="A139" s="11" t="s">
        <v>627</v>
      </c>
      <c r="B139" s="3">
        <v>87538</v>
      </c>
      <c r="C139" s="11">
        <v>13</v>
      </c>
      <c r="D139" s="11">
        <f t="shared" si="6"/>
        <v>832</v>
      </c>
      <c r="E139" s="11">
        <f t="shared" si="7"/>
        <v>1</v>
      </c>
      <c r="F139" s="11">
        <f t="shared" si="5"/>
        <v>72744078</v>
      </c>
      <c r="G139" s="11" t="s">
        <v>375</v>
      </c>
    </row>
    <row r="140" spans="1:11">
      <c r="A140" s="11" t="s">
        <v>649</v>
      </c>
      <c r="B140" s="3">
        <v>-3000900</v>
      </c>
      <c r="C140" s="11">
        <v>1</v>
      </c>
      <c r="D140" s="11">
        <f t="shared" si="6"/>
        <v>819</v>
      </c>
      <c r="E140" s="11">
        <f t="shared" si="7"/>
        <v>0</v>
      </c>
      <c r="F140" s="11">
        <f t="shared" si="5"/>
        <v>-2457737100</v>
      </c>
      <c r="G140" s="11" t="s">
        <v>650</v>
      </c>
    </row>
    <row r="141" spans="1:11">
      <c r="A141" s="11" t="s">
        <v>666</v>
      </c>
      <c r="B141" s="3">
        <v>-3000900</v>
      </c>
      <c r="C141" s="11">
        <v>17</v>
      </c>
      <c r="D141" s="11">
        <f t="shared" si="6"/>
        <v>818</v>
      </c>
      <c r="E141" s="11">
        <f t="shared" si="7"/>
        <v>0</v>
      </c>
      <c r="F141" s="11">
        <f t="shared" si="5"/>
        <v>-2454736200</v>
      </c>
      <c r="G141" s="11" t="s">
        <v>650</v>
      </c>
      <c r="K141" t="s">
        <v>25</v>
      </c>
    </row>
    <row r="142" spans="1:11">
      <c r="A142" s="11" t="s">
        <v>630</v>
      </c>
      <c r="B142" s="3">
        <v>602025</v>
      </c>
      <c r="C142" s="11">
        <v>0</v>
      </c>
      <c r="D142" s="11">
        <f t="shared" si="6"/>
        <v>801</v>
      </c>
      <c r="E142" s="11">
        <f t="shared" si="7"/>
        <v>1</v>
      </c>
      <c r="F142" s="11">
        <f t="shared" si="5"/>
        <v>481620000</v>
      </c>
      <c r="G142" s="11" t="s">
        <v>668</v>
      </c>
    </row>
    <row r="143" spans="1:11">
      <c r="A143" s="11" t="s">
        <v>630</v>
      </c>
      <c r="B143" s="3">
        <v>-46000000</v>
      </c>
      <c r="C143" s="11">
        <v>31</v>
      </c>
      <c r="D143" s="11">
        <f t="shared" si="6"/>
        <v>801</v>
      </c>
      <c r="E143" s="11">
        <f t="shared" si="7"/>
        <v>0</v>
      </c>
      <c r="F143" s="11">
        <f t="shared" si="5"/>
        <v>-36846000000</v>
      </c>
      <c r="G143" s="11" t="s">
        <v>671</v>
      </c>
    </row>
    <row r="144" spans="1:11">
      <c r="A144" s="11" t="s">
        <v>631</v>
      </c>
      <c r="B144" s="3">
        <v>154107</v>
      </c>
      <c r="C144" s="11">
        <v>1</v>
      </c>
      <c r="D144" s="11">
        <f t="shared" si="6"/>
        <v>770</v>
      </c>
      <c r="E144" s="11">
        <f t="shared" si="7"/>
        <v>1</v>
      </c>
      <c r="F144" s="11">
        <f t="shared" si="5"/>
        <v>118508283</v>
      </c>
      <c r="G144" s="11" t="s">
        <v>694</v>
      </c>
    </row>
    <row r="145" spans="1:11">
      <c r="A145" s="11" t="s">
        <v>700</v>
      </c>
      <c r="B145" s="3">
        <v>3000000</v>
      </c>
      <c r="C145" s="11">
        <v>3</v>
      </c>
      <c r="D145" s="11">
        <f t="shared" si="6"/>
        <v>769</v>
      </c>
      <c r="E145" s="11">
        <f t="shared" si="7"/>
        <v>1</v>
      </c>
      <c r="F145" s="11">
        <f t="shared" si="5"/>
        <v>2304000000</v>
      </c>
      <c r="G145" s="11" t="s">
        <v>701</v>
      </c>
    </row>
    <row r="146" spans="1:11">
      <c r="A146" s="11" t="s">
        <v>702</v>
      </c>
      <c r="B146" s="3">
        <v>-200000</v>
      </c>
      <c r="C146" s="11">
        <v>5</v>
      </c>
      <c r="D146" s="11">
        <f t="shared" si="6"/>
        <v>766</v>
      </c>
      <c r="E146" s="11">
        <f t="shared" si="7"/>
        <v>0</v>
      </c>
      <c r="F146" s="11">
        <f t="shared" si="5"/>
        <v>-153200000</v>
      </c>
      <c r="G146" s="11" t="s">
        <v>158</v>
      </c>
    </row>
    <row r="147" spans="1:11">
      <c r="A147" s="11" t="s">
        <v>703</v>
      </c>
      <c r="B147" s="3">
        <v>-200000</v>
      </c>
      <c r="C147" s="11">
        <v>1</v>
      </c>
      <c r="D147" s="11">
        <f t="shared" si="6"/>
        <v>761</v>
      </c>
      <c r="E147" s="11">
        <f t="shared" si="7"/>
        <v>0</v>
      </c>
      <c r="F147" s="11">
        <f t="shared" si="5"/>
        <v>-152200000</v>
      </c>
      <c r="G147" s="11" t="s">
        <v>158</v>
      </c>
      <c r="K147" t="s">
        <v>25</v>
      </c>
    </row>
    <row r="148" spans="1:11">
      <c r="A148" s="11" t="s">
        <v>704</v>
      </c>
      <c r="B148" s="3">
        <v>-200000</v>
      </c>
      <c r="C148" s="11">
        <v>4</v>
      </c>
      <c r="D148" s="11">
        <f t="shared" si="6"/>
        <v>760</v>
      </c>
      <c r="E148" s="11">
        <f t="shared" si="7"/>
        <v>0</v>
      </c>
      <c r="F148" s="11">
        <f t="shared" si="5"/>
        <v>-152000000</v>
      </c>
      <c r="G148" s="11" t="s">
        <v>158</v>
      </c>
    </row>
    <row r="149" spans="1:11">
      <c r="A149" s="11" t="s">
        <v>634</v>
      </c>
      <c r="B149" s="3">
        <v>-200000</v>
      </c>
      <c r="C149" s="11">
        <v>1</v>
      </c>
      <c r="D149" s="11">
        <f t="shared" si="6"/>
        <v>756</v>
      </c>
      <c r="E149" s="11">
        <f t="shared" si="7"/>
        <v>0</v>
      </c>
      <c r="F149" s="11">
        <f t="shared" si="5"/>
        <v>-151200000</v>
      </c>
      <c r="G149" s="11" t="s">
        <v>158</v>
      </c>
    </row>
    <row r="150" spans="1:11">
      <c r="A150" s="11" t="s">
        <v>710</v>
      </c>
      <c r="B150" s="3">
        <v>24073400</v>
      </c>
      <c r="C150" s="11">
        <v>2</v>
      </c>
      <c r="D150" s="11">
        <f t="shared" si="6"/>
        <v>755</v>
      </c>
      <c r="E150" s="11">
        <f t="shared" si="7"/>
        <v>1</v>
      </c>
      <c r="F150" s="11">
        <f t="shared" si="5"/>
        <v>18151343600</v>
      </c>
      <c r="G150" s="11" t="s">
        <v>711</v>
      </c>
    </row>
    <row r="151" spans="1:11">
      <c r="A151" s="11" t="s">
        <v>719</v>
      </c>
      <c r="B151" s="3">
        <v>-200000</v>
      </c>
      <c r="C151" s="11">
        <v>6</v>
      </c>
      <c r="D151" s="11">
        <f t="shared" si="6"/>
        <v>753</v>
      </c>
      <c r="E151" s="11">
        <f t="shared" si="7"/>
        <v>0</v>
      </c>
      <c r="F151" s="11">
        <f t="shared" si="5"/>
        <v>-150600000</v>
      </c>
      <c r="G151" s="11" t="s">
        <v>158</v>
      </c>
    </row>
    <row r="152" spans="1:11">
      <c r="A152" s="11" t="s">
        <v>720</v>
      </c>
      <c r="B152" s="3">
        <v>-30000000</v>
      </c>
      <c r="C152" s="11">
        <v>1</v>
      </c>
      <c r="D152" s="11">
        <f t="shared" si="6"/>
        <v>747</v>
      </c>
      <c r="E152" s="11">
        <f t="shared" si="7"/>
        <v>0</v>
      </c>
      <c r="F152" s="11">
        <f t="shared" si="5"/>
        <v>-22410000000</v>
      </c>
      <c r="G152" s="11" t="s">
        <v>721</v>
      </c>
    </row>
    <row r="153" spans="1:11">
      <c r="A153" s="11" t="s">
        <v>728</v>
      </c>
      <c r="B153" s="3">
        <v>-52000</v>
      </c>
      <c r="C153" s="11">
        <v>0</v>
      </c>
      <c r="D153" s="11">
        <f t="shared" si="6"/>
        <v>746</v>
      </c>
      <c r="E153" s="11">
        <f t="shared" si="7"/>
        <v>0</v>
      </c>
      <c r="F153" s="11">
        <f t="shared" si="5"/>
        <v>-38792000</v>
      </c>
      <c r="G153" s="11" t="s">
        <v>729</v>
      </c>
    </row>
    <row r="154" spans="1:11">
      <c r="A154" s="11" t="s">
        <v>728</v>
      </c>
      <c r="B154" s="3">
        <v>-136000</v>
      </c>
      <c r="C154" s="11">
        <v>5</v>
      </c>
      <c r="D154" s="11">
        <f t="shared" si="6"/>
        <v>746</v>
      </c>
      <c r="E154" s="11">
        <f t="shared" si="7"/>
        <v>0</v>
      </c>
      <c r="F154" s="11">
        <f t="shared" si="5"/>
        <v>-101456000</v>
      </c>
      <c r="G154" s="11" t="s">
        <v>730</v>
      </c>
    </row>
    <row r="155" spans="1:11">
      <c r="A155" s="11" t="s">
        <v>732</v>
      </c>
      <c r="B155" s="3">
        <v>3000000</v>
      </c>
      <c r="C155" s="11">
        <v>1</v>
      </c>
      <c r="D155" s="11">
        <f t="shared" si="6"/>
        <v>741</v>
      </c>
      <c r="E155" s="11">
        <f t="shared" si="7"/>
        <v>1</v>
      </c>
      <c r="F155" s="11">
        <f t="shared" si="5"/>
        <v>2220000000</v>
      </c>
      <c r="G155" s="11" t="s">
        <v>733</v>
      </c>
    </row>
    <row r="156" spans="1:11">
      <c r="A156" s="11" t="s">
        <v>632</v>
      </c>
      <c r="B156" s="3">
        <v>189103</v>
      </c>
      <c r="C156" s="11">
        <v>0</v>
      </c>
      <c r="D156" s="11">
        <f t="shared" si="6"/>
        <v>740</v>
      </c>
      <c r="E156" s="11">
        <f t="shared" si="7"/>
        <v>1</v>
      </c>
      <c r="F156" s="11">
        <f t="shared" si="5"/>
        <v>139747117</v>
      </c>
      <c r="G156" s="11" t="s">
        <v>734</v>
      </c>
    </row>
    <row r="157" spans="1:11">
      <c r="A157" s="11" t="s">
        <v>632</v>
      </c>
      <c r="B157" s="3">
        <v>24227700</v>
      </c>
      <c r="C157" s="11">
        <v>8</v>
      </c>
      <c r="D157" s="11">
        <f t="shared" si="6"/>
        <v>740</v>
      </c>
      <c r="E157" s="11">
        <f t="shared" si="7"/>
        <v>1</v>
      </c>
      <c r="F157" s="11">
        <f t="shared" si="5"/>
        <v>17904270300</v>
      </c>
      <c r="G157" s="11" t="s">
        <v>735</v>
      </c>
    </row>
    <row r="158" spans="1:11">
      <c r="A158" s="11" t="s">
        <v>753</v>
      </c>
      <c r="B158" s="3">
        <v>24295200</v>
      </c>
      <c r="C158" s="11">
        <v>0</v>
      </c>
      <c r="D158" s="11">
        <f t="shared" si="6"/>
        <v>732</v>
      </c>
      <c r="E158" s="11">
        <f t="shared" si="7"/>
        <v>1</v>
      </c>
      <c r="F158" s="11">
        <f t="shared" si="5"/>
        <v>17759791200</v>
      </c>
      <c r="G158" s="11" t="s">
        <v>749</v>
      </c>
    </row>
    <row r="159" spans="1:11">
      <c r="A159" s="11" t="s">
        <v>753</v>
      </c>
      <c r="B159" s="3">
        <v>-201000</v>
      </c>
      <c r="C159" s="11">
        <v>5</v>
      </c>
      <c r="D159" s="11">
        <f t="shared" si="6"/>
        <v>732</v>
      </c>
      <c r="E159" s="11">
        <f t="shared" si="7"/>
        <v>0</v>
      </c>
      <c r="F159" s="11">
        <f t="shared" si="5"/>
        <v>-147132000</v>
      </c>
      <c r="G159" s="11" t="s">
        <v>756</v>
      </c>
    </row>
    <row r="160" spans="1:11">
      <c r="A160" s="11" t="s">
        <v>757</v>
      </c>
      <c r="B160" s="3">
        <v>-200000</v>
      </c>
      <c r="C160" s="11">
        <v>3</v>
      </c>
      <c r="D160" s="11">
        <f t="shared" si="6"/>
        <v>727</v>
      </c>
      <c r="E160" s="11">
        <f t="shared" si="7"/>
        <v>0</v>
      </c>
      <c r="F160" s="11">
        <f t="shared" si="5"/>
        <v>-145400000</v>
      </c>
      <c r="G160" s="11" t="s">
        <v>758</v>
      </c>
    </row>
    <row r="161" spans="1:7">
      <c r="A161" s="11" t="s">
        <v>764</v>
      </c>
      <c r="B161" s="3">
        <v>-200000</v>
      </c>
      <c r="C161" s="11">
        <v>4</v>
      </c>
      <c r="D161" s="11">
        <f t="shared" si="6"/>
        <v>724</v>
      </c>
      <c r="E161" s="11">
        <f t="shared" si="7"/>
        <v>0</v>
      </c>
      <c r="F161" s="11">
        <f t="shared" si="5"/>
        <v>-144800000</v>
      </c>
      <c r="G161" s="11" t="s">
        <v>758</v>
      </c>
    </row>
    <row r="162" spans="1:7">
      <c r="A162" s="11" t="s">
        <v>766</v>
      </c>
      <c r="B162" s="3">
        <v>-200000</v>
      </c>
      <c r="C162" s="11">
        <v>3</v>
      </c>
      <c r="D162" s="11">
        <f t="shared" si="6"/>
        <v>720</v>
      </c>
      <c r="E162" s="11">
        <f t="shared" si="7"/>
        <v>0</v>
      </c>
      <c r="F162" s="11">
        <f t="shared" si="5"/>
        <v>-144000000</v>
      </c>
      <c r="G162" s="11" t="s">
        <v>758</v>
      </c>
    </row>
    <row r="163" spans="1:7">
      <c r="A163" s="11" t="s">
        <v>767</v>
      </c>
      <c r="B163" s="3">
        <v>-200000</v>
      </c>
      <c r="C163" s="11">
        <v>7</v>
      </c>
      <c r="D163" s="11">
        <f t="shared" si="6"/>
        <v>717</v>
      </c>
      <c r="E163" s="11">
        <f t="shared" si="7"/>
        <v>0</v>
      </c>
      <c r="F163" s="11">
        <f t="shared" si="5"/>
        <v>-143400000</v>
      </c>
      <c r="G163" s="11" t="s">
        <v>758</v>
      </c>
    </row>
    <row r="164" spans="1:7">
      <c r="A164" s="11" t="s">
        <v>633</v>
      </c>
      <c r="B164" s="3">
        <v>457674</v>
      </c>
      <c r="C164" s="11">
        <v>3</v>
      </c>
      <c r="D164" s="11">
        <f t="shared" si="6"/>
        <v>710</v>
      </c>
      <c r="E164" s="11">
        <f t="shared" si="7"/>
        <v>1</v>
      </c>
      <c r="F164" s="11">
        <f t="shared" si="5"/>
        <v>324490866</v>
      </c>
      <c r="G164" s="11" t="s">
        <v>771</v>
      </c>
    </row>
    <row r="165" spans="1:7">
      <c r="A165" s="11" t="s">
        <v>776</v>
      </c>
      <c r="B165" s="3">
        <v>2700000</v>
      </c>
      <c r="C165" s="11">
        <v>0</v>
      </c>
      <c r="D165" s="11">
        <f t="shared" si="6"/>
        <v>707</v>
      </c>
      <c r="E165" s="11">
        <f t="shared" si="7"/>
        <v>1</v>
      </c>
      <c r="F165" s="11">
        <f t="shared" si="5"/>
        <v>1906200000</v>
      </c>
      <c r="G165" s="11" t="s">
        <v>777</v>
      </c>
    </row>
    <row r="166" spans="1:7">
      <c r="A166" s="11" t="s">
        <v>776</v>
      </c>
      <c r="B166" s="3">
        <v>2500000</v>
      </c>
      <c r="C166" s="11">
        <v>7</v>
      </c>
      <c r="D166" s="11">
        <f t="shared" si="6"/>
        <v>707</v>
      </c>
      <c r="E166" s="11">
        <f t="shared" si="7"/>
        <v>1</v>
      </c>
      <c r="F166" s="11">
        <f t="shared" si="5"/>
        <v>1765000000</v>
      </c>
      <c r="G166" s="11" t="s">
        <v>778</v>
      </c>
    </row>
    <row r="167" spans="1:7">
      <c r="A167" s="11" t="s">
        <v>790</v>
      </c>
      <c r="B167" s="3">
        <v>-200000</v>
      </c>
      <c r="C167" s="11">
        <v>2</v>
      </c>
      <c r="D167" s="11">
        <f t="shared" si="6"/>
        <v>700</v>
      </c>
      <c r="E167" s="11">
        <f t="shared" si="7"/>
        <v>0</v>
      </c>
      <c r="F167" s="11">
        <f t="shared" si="5"/>
        <v>-140000000</v>
      </c>
      <c r="G167" s="11" t="s">
        <v>502</v>
      </c>
    </row>
    <row r="168" spans="1:7">
      <c r="A168" s="11" t="s">
        <v>792</v>
      </c>
      <c r="B168" s="3">
        <v>-200000</v>
      </c>
      <c r="C168" s="11">
        <v>6</v>
      </c>
      <c r="D168" s="11">
        <f t="shared" si="6"/>
        <v>698</v>
      </c>
      <c r="E168" s="11">
        <f t="shared" si="7"/>
        <v>0</v>
      </c>
      <c r="F168" s="11">
        <f t="shared" si="5"/>
        <v>-139600000</v>
      </c>
      <c r="G168" s="11" t="s">
        <v>502</v>
      </c>
    </row>
    <row r="169" spans="1:7">
      <c r="A169" s="11" t="s">
        <v>794</v>
      </c>
      <c r="B169" s="3">
        <v>-200000</v>
      </c>
      <c r="C169" s="11">
        <v>3</v>
      </c>
      <c r="D169" s="11">
        <f t="shared" si="6"/>
        <v>692</v>
      </c>
      <c r="E169" s="11">
        <f t="shared" si="7"/>
        <v>0</v>
      </c>
      <c r="F169" s="11">
        <f t="shared" si="5"/>
        <v>-138400000</v>
      </c>
      <c r="G169" s="11" t="s">
        <v>502</v>
      </c>
    </row>
    <row r="170" spans="1:7">
      <c r="A170" s="11" t="s">
        <v>799</v>
      </c>
      <c r="B170" s="3">
        <v>-200000</v>
      </c>
      <c r="C170" s="11">
        <v>0</v>
      </c>
      <c r="D170" s="11">
        <f t="shared" si="6"/>
        <v>689</v>
      </c>
      <c r="E170" s="11">
        <f t="shared" si="7"/>
        <v>0</v>
      </c>
      <c r="F170" s="11">
        <f t="shared" si="5"/>
        <v>-137800000</v>
      </c>
      <c r="G170" s="11" t="s">
        <v>502</v>
      </c>
    </row>
    <row r="171" spans="1:7">
      <c r="A171" s="11" t="s">
        <v>799</v>
      </c>
      <c r="B171" s="3">
        <v>3000000</v>
      </c>
      <c r="C171" s="11">
        <v>3</v>
      </c>
      <c r="D171" s="11">
        <f t="shared" si="6"/>
        <v>689</v>
      </c>
      <c r="E171" s="11">
        <f t="shared" si="7"/>
        <v>1</v>
      </c>
      <c r="F171" s="11">
        <f t="shared" si="5"/>
        <v>2064000000</v>
      </c>
      <c r="G171" s="11" t="s">
        <v>800</v>
      </c>
    </row>
    <row r="172" spans="1:7">
      <c r="A172" s="11" t="s">
        <v>801</v>
      </c>
      <c r="B172" s="3">
        <v>-200000</v>
      </c>
      <c r="C172" s="11">
        <v>1</v>
      </c>
      <c r="D172" s="11">
        <f t="shared" si="6"/>
        <v>686</v>
      </c>
      <c r="E172" s="11">
        <f t="shared" si="7"/>
        <v>0</v>
      </c>
      <c r="F172" s="11">
        <f t="shared" si="5"/>
        <v>-137200000</v>
      </c>
      <c r="G172" s="11" t="s">
        <v>158</v>
      </c>
    </row>
    <row r="173" spans="1:7">
      <c r="A173" s="11" t="s">
        <v>801</v>
      </c>
      <c r="B173" s="3">
        <v>3000000</v>
      </c>
      <c r="C173" s="11">
        <v>1</v>
      </c>
      <c r="D173" s="11">
        <f t="shared" si="6"/>
        <v>685</v>
      </c>
      <c r="E173" s="11">
        <f t="shared" si="7"/>
        <v>1</v>
      </c>
      <c r="F173" s="11">
        <f t="shared" si="5"/>
        <v>2052000000</v>
      </c>
      <c r="G173" s="11" t="s">
        <v>803</v>
      </c>
    </row>
    <row r="174" spans="1:7">
      <c r="A174" s="11" t="s">
        <v>802</v>
      </c>
      <c r="B174" s="3">
        <v>2000000</v>
      </c>
      <c r="C174" s="11">
        <v>1</v>
      </c>
      <c r="D174" s="11">
        <f t="shared" si="6"/>
        <v>684</v>
      </c>
      <c r="E174" s="11">
        <f t="shared" si="7"/>
        <v>1</v>
      </c>
      <c r="F174" s="11">
        <f t="shared" si="5"/>
        <v>1366000000</v>
      </c>
      <c r="G174" s="11" t="s">
        <v>804</v>
      </c>
    </row>
    <row r="175" spans="1:7">
      <c r="A175" s="11" t="s">
        <v>802</v>
      </c>
      <c r="B175" s="3">
        <v>1300000</v>
      </c>
      <c r="C175" s="11">
        <v>2</v>
      </c>
      <c r="D175" s="11">
        <f t="shared" si="6"/>
        <v>683</v>
      </c>
      <c r="E175" s="11">
        <f t="shared" si="7"/>
        <v>1</v>
      </c>
      <c r="F175" s="11">
        <f t="shared" si="5"/>
        <v>886600000</v>
      </c>
      <c r="G175" s="11" t="s">
        <v>805</v>
      </c>
    </row>
    <row r="176" spans="1:7">
      <c r="A176" s="11" t="s">
        <v>806</v>
      </c>
      <c r="B176" s="3">
        <v>-200000</v>
      </c>
      <c r="C176" s="11">
        <v>0</v>
      </c>
      <c r="D176" s="11">
        <f t="shared" si="6"/>
        <v>681</v>
      </c>
      <c r="E176" s="11">
        <f t="shared" si="7"/>
        <v>0</v>
      </c>
      <c r="F176" s="11">
        <f t="shared" si="5"/>
        <v>-136200000</v>
      </c>
      <c r="G176" s="11" t="s">
        <v>758</v>
      </c>
    </row>
    <row r="177" spans="1:7">
      <c r="A177" s="11" t="s">
        <v>806</v>
      </c>
      <c r="B177" s="3">
        <v>1700000</v>
      </c>
      <c r="C177" s="11">
        <v>1</v>
      </c>
      <c r="D177" s="11">
        <f t="shared" si="6"/>
        <v>681</v>
      </c>
      <c r="E177" s="11">
        <f t="shared" si="7"/>
        <v>1</v>
      </c>
      <c r="F177" s="11">
        <f t="shared" si="5"/>
        <v>1156000000</v>
      </c>
      <c r="G177" s="11" t="s">
        <v>807</v>
      </c>
    </row>
    <row r="178" spans="1:7">
      <c r="A178" s="11" t="s">
        <v>808</v>
      </c>
      <c r="B178" s="3">
        <v>-200000</v>
      </c>
      <c r="C178" s="11">
        <v>1</v>
      </c>
      <c r="D178" s="11">
        <f t="shared" si="6"/>
        <v>680</v>
      </c>
      <c r="E178" s="11">
        <f t="shared" si="7"/>
        <v>0</v>
      </c>
      <c r="F178" s="11">
        <f t="shared" si="5"/>
        <v>-136000000</v>
      </c>
      <c r="G178" s="11" t="s">
        <v>502</v>
      </c>
    </row>
    <row r="179" spans="1:7">
      <c r="A179" s="11" t="s">
        <v>810</v>
      </c>
      <c r="B179" s="3">
        <v>571492</v>
      </c>
      <c r="C179" s="11">
        <v>3</v>
      </c>
      <c r="D179" s="11">
        <f t="shared" si="6"/>
        <v>679</v>
      </c>
      <c r="E179" s="11">
        <f t="shared" si="7"/>
        <v>1</v>
      </c>
      <c r="F179" s="11">
        <f t="shared" si="5"/>
        <v>387471576</v>
      </c>
      <c r="G179" s="11" t="s">
        <v>242</v>
      </c>
    </row>
    <row r="180" spans="1:7">
      <c r="A180" s="11" t="s">
        <v>815</v>
      </c>
      <c r="B180" s="3">
        <v>3000000</v>
      </c>
      <c r="C180" s="11">
        <v>7</v>
      </c>
      <c r="D180" s="11">
        <f t="shared" si="6"/>
        <v>676</v>
      </c>
      <c r="E180" s="11">
        <f t="shared" si="7"/>
        <v>1</v>
      </c>
      <c r="F180" s="11">
        <f t="shared" si="5"/>
        <v>2025000000</v>
      </c>
      <c r="G180" s="11" t="s">
        <v>818</v>
      </c>
    </row>
    <row r="181" spans="1:7">
      <c r="A181" s="11" t="s">
        <v>827</v>
      </c>
      <c r="B181" s="3">
        <v>2000000</v>
      </c>
      <c r="C181" s="11">
        <v>8</v>
      </c>
      <c r="D181" s="11">
        <f t="shared" si="6"/>
        <v>669</v>
      </c>
      <c r="E181" s="11">
        <f t="shared" si="7"/>
        <v>1</v>
      </c>
      <c r="F181" s="11">
        <f t="shared" si="5"/>
        <v>1336000000</v>
      </c>
      <c r="G181" s="11" t="s">
        <v>828</v>
      </c>
    </row>
    <row r="182" spans="1:7">
      <c r="A182" s="11" t="s">
        <v>839</v>
      </c>
      <c r="B182" s="3">
        <v>-2200700</v>
      </c>
      <c r="C182" s="11">
        <v>12</v>
      </c>
      <c r="D182" s="11">
        <f t="shared" si="6"/>
        <v>661</v>
      </c>
      <c r="E182" s="11">
        <f t="shared" si="7"/>
        <v>0</v>
      </c>
      <c r="F182" s="11">
        <f t="shared" si="5"/>
        <v>-1454662700</v>
      </c>
      <c r="G182" s="11" t="s">
        <v>841</v>
      </c>
    </row>
    <row r="183" spans="1:7">
      <c r="A183" s="11" t="s">
        <v>849</v>
      </c>
      <c r="B183" s="3">
        <v>675087</v>
      </c>
      <c r="C183" s="11">
        <v>30</v>
      </c>
      <c r="D183" s="11">
        <f t="shared" si="6"/>
        <v>649</v>
      </c>
      <c r="E183" s="11">
        <f t="shared" si="7"/>
        <v>1</v>
      </c>
      <c r="F183" s="11">
        <f t="shared" si="5"/>
        <v>437456376</v>
      </c>
      <c r="G183" s="11" t="s">
        <v>264</v>
      </c>
    </row>
    <row r="184" spans="1:7">
      <c r="A184" s="11" t="s">
        <v>885</v>
      </c>
      <c r="B184" s="3">
        <v>677000</v>
      </c>
      <c r="C184" s="11">
        <v>15</v>
      </c>
      <c r="D184" s="11">
        <f>D185+C184</f>
        <v>619</v>
      </c>
      <c r="E184" s="11">
        <f t="shared" si="7"/>
        <v>1</v>
      </c>
      <c r="F184" s="11">
        <f t="shared" si="5"/>
        <v>418386000</v>
      </c>
      <c r="G184" s="11" t="s">
        <v>400</v>
      </c>
    </row>
    <row r="185" spans="1:7">
      <c r="A185" s="11" t="s">
        <v>910</v>
      </c>
      <c r="B185" s="3">
        <v>-10000</v>
      </c>
      <c r="C185" s="11">
        <v>5</v>
      </c>
      <c r="D185" s="11">
        <f t="shared" si="6"/>
        <v>604</v>
      </c>
      <c r="E185" s="11">
        <f t="shared" si="7"/>
        <v>0</v>
      </c>
      <c r="F185" s="11">
        <f t="shared" si="5"/>
        <v>-6040000</v>
      </c>
      <c r="G185" s="11" t="s">
        <v>916</v>
      </c>
    </row>
    <row r="186" spans="1:7">
      <c r="A186" s="11" t="s">
        <v>927</v>
      </c>
      <c r="B186" s="3">
        <v>-80500000</v>
      </c>
      <c r="C186" s="11">
        <v>5</v>
      </c>
      <c r="D186" s="11">
        <f t="shared" ref="D186:D275" si="8">D187+C186</f>
        <v>599</v>
      </c>
      <c r="E186" s="11">
        <f t="shared" si="7"/>
        <v>0</v>
      </c>
      <c r="F186" s="11">
        <f t="shared" si="5"/>
        <v>-48219500000</v>
      </c>
      <c r="G186" s="11" t="s">
        <v>1016</v>
      </c>
    </row>
    <row r="187" spans="1:7">
      <c r="A187" s="11" t="s">
        <v>1015</v>
      </c>
      <c r="B187" s="3">
        <v>-1100000</v>
      </c>
      <c r="C187" s="11">
        <v>0</v>
      </c>
      <c r="D187" s="11">
        <f t="shared" si="8"/>
        <v>594</v>
      </c>
      <c r="E187" s="11">
        <f t="shared" si="7"/>
        <v>0</v>
      </c>
      <c r="F187" s="11">
        <f t="shared" si="5"/>
        <v>-653400000</v>
      </c>
      <c r="G187" s="11" t="s">
        <v>1016</v>
      </c>
    </row>
    <row r="188" spans="1:7">
      <c r="A188" s="11" t="s">
        <v>1015</v>
      </c>
      <c r="B188" s="3">
        <v>3000000</v>
      </c>
      <c r="C188" s="11">
        <v>1</v>
      </c>
      <c r="D188" s="11">
        <f t="shared" si="8"/>
        <v>594</v>
      </c>
      <c r="E188" s="11">
        <f t="shared" si="7"/>
        <v>1</v>
      </c>
      <c r="F188" s="11">
        <f t="shared" si="5"/>
        <v>1779000000</v>
      </c>
      <c r="G188" s="11" t="s">
        <v>1027</v>
      </c>
    </row>
    <row r="189" spans="1:7">
      <c r="A189" s="11" t="s">
        <v>1026</v>
      </c>
      <c r="B189" s="3">
        <v>2000000</v>
      </c>
      <c r="C189" s="11">
        <v>0</v>
      </c>
      <c r="D189" s="11">
        <f t="shared" si="8"/>
        <v>593</v>
      </c>
      <c r="E189" s="11">
        <f t="shared" si="7"/>
        <v>1</v>
      </c>
      <c r="F189" s="11">
        <f t="shared" si="5"/>
        <v>1184000000</v>
      </c>
      <c r="G189" s="11" t="s">
        <v>1027</v>
      </c>
    </row>
    <row r="190" spans="1:7">
      <c r="A190" s="11" t="s">
        <v>1026</v>
      </c>
      <c r="B190" s="3">
        <v>-5000000</v>
      </c>
      <c r="C190" s="11">
        <v>1</v>
      </c>
      <c r="D190" s="11">
        <f t="shared" si="8"/>
        <v>593</v>
      </c>
      <c r="E190" s="11">
        <f t="shared" si="7"/>
        <v>0</v>
      </c>
      <c r="F190" s="11">
        <f t="shared" si="5"/>
        <v>-2965000000</v>
      </c>
      <c r="G190" s="11" t="s">
        <v>1016</v>
      </c>
    </row>
    <row r="191" spans="1:7">
      <c r="A191" s="11" t="s">
        <v>1032</v>
      </c>
      <c r="B191" s="3">
        <v>483248</v>
      </c>
      <c r="C191" s="11">
        <v>4</v>
      </c>
      <c r="D191" s="11">
        <f t="shared" si="8"/>
        <v>592</v>
      </c>
      <c r="E191" s="11">
        <f t="shared" si="7"/>
        <v>1</v>
      </c>
      <c r="F191" s="11">
        <f t="shared" si="5"/>
        <v>285599568</v>
      </c>
      <c r="G191" s="11" t="s">
        <v>1034</v>
      </c>
    </row>
    <row r="192" spans="1:7">
      <c r="A192" s="11" t="s">
        <v>1060</v>
      </c>
      <c r="B192" s="3">
        <v>-115300</v>
      </c>
      <c r="C192" s="11">
        <v>4</v>
      </c>
      <c r="D192" s="11">
        <f t="shared" si="8"/>
        <v>588</v>
      </c>
      <c r="E192" s="11">
        <f t="shared" si="7"/>
        <v>0</v>
      </c>
      <c r="F192" s="11">
        <f t="shared" si="5"/>
        <v>-67796400</v>
      </c>
      <c r="G192" s="11" t="s">
        <v>1061</v>
      </c>
    </row>
    <row r="193" spans="1:7">
      <c r="A193" s="11" t="s">
        <v>1071</v>
      </c>
      <c r="B193" s="3">
        <v>90000000</v>
      </c>
      <c r="C193" s="11">
        <v>7</v>
      </c>
      <c r="D193" s="11">
        <f t="shared" si="8"/>
        <v>584</v>
      </c>
      <c r="E193" s="11">
        <f t="shared" si="7"/>
        <v>1</v>
      </c>
      <c r="F193" s="11">
        <f t="shared" si="5"/>
        <v>52470000000</v>
      </c>
      <c r="G193" s="11" t="s">
        <v>1072</v>
      </c>
    </row>
    <row r="194" spans="1:7">
      <c r="A194" s="11" t="s">
        <v>1075</v>
      </c>
      <c r="B194" s="3">
        <v>52000000</v>
      </c>
      <c r="C194" s="11">
        <v>0</v>
      </c>
      <c r="D194" s="11">
        <f t="shared" si="8"/>
        <v>577</v>
      </c>
      <c r="E194" s="11">
        <f t="shared" si="7"/>
        <v>1</v>
      </c>
      <c r="F194" s="11">
        <f t="shared" si="5"/>
        <v>29952000000</v>
      </c>
      <c r="G194" s="11" t="s">
        <v>1080</v>
      </c>
    </row>
    <row r="195" spans="1:7">
      <c r="A195" s="11" t="s">
        <v>1075</v>
      </c>
      <c r="B195" s="3">
        <v>25000000</v>
      </c>
      <c r="C195" s="11">
        <v>0</v>
      </c>
      <c r="D195" s="11">
        <f t="shared" si="8"/>
        <v>577</v>
      </c>
      <c r="E195" s="11">
        <f t="shared" si="7"/>
        <v>1</v>
      </c>
      <c r="F195" s="99">
        <f t="shared" si="5"/>
        <v>14400000000</v>
      </c>
      <c r="G195" s="11" t="s">
        <v>1081</v>
      </c>
    </row>
    <row r="196" spans="1:7">
      <c r="A196" s="11" t="s">
        <v>1075</v>
      </c>
      <c r="B196" s="3">
        <v>-168000000</v>
      </c>
      <c r="C196" s="11">
        <v>7</v>
      </c>
      <c r="D196" s="99">
        <f t="shared" si="8"/>
        <v>577</v>
      </c>
      <c r="E196" s="99">
        <f t="shared" si="7"/>
        <v>0</v>
      </c>
      <c r="F196" s="99">
        <f t="shared" si="5"/>
        <v>-96936000000</v>
      </c>
      <c r="G196" s="11" t="s">
        <v>1082</v>
      </c>
    </row>
    <row r="197" spans="1:7">
      <c r="A197" s="11" t="s">
        <v>1128</v>
      </c>
      <c r="B197" s="3">
        <v>-165500</v>
      </c>
      <c r="C197" s="11">
        <v>4</v>
      </c>
      <c r="D197" s="99">
        <f t="shared" si="8"/>
        <v>570</v>
      </c>
      <c r="E197" s="99">
        <f t="shared" si="7"/>
        <v>0</v>
      </c>
      <c r="F197" s="99">
        <f t="shared" si="5"/>
        <v>-94335000</v>
      </c>
      <c r="G197" s="11" t="s">
        <v>1129</v>
      </c>
    </row>
    <row r="198" spans="1:7">
      <c r="A198" s="99" t="s">
        <v>1130</v>
      </c>
      <c r="B198" s="113">
        <v>-200000</v>
      </c>
      <c r="C198" s="99">
        <v>0</v>
      </c>
      <c r="D198" s="99">
        <f t="shared" si="8"/>
        <v>566</v>
      </c>
      <c r="E198" s="99">
        <f t="shared" si="7"/>
        <v>0</v>
      </c>
      <c r="F198" s="99">
        <f t="shared" si="5"/>
        <v>-113200000</v>
      </c>
      <c r="G198" s="99" t="s">
        <v>1131</v>
      </c>
    </row>
    <row r="199" spans="1:7">
      <c r="A199" s="99" t="s">
        <v>1130</v>
      </c>
      <c r="B199" s="113">
        <v>-46981</v>
      </c>
      <c r="C199" s="99">
        <v>3</v>
      </c>
      <c r="D199" s="99">
        <f t="shared" si="8"/>
        <v>566</v>
      </c>
      <c r="E199" s="99">
        <f t="shared" si="7"/>
        <v>0</v>
      </c>
      <c r="F199" s="99">
        <f t="shared" si="5"/>
        <v>-26591246</v>
      </c>
      <c r="G199" s="99" t="s">
        <v>870</v>
      </c>
    </row>
    <row r="200" spans="1:7">
      <c r="A200" s="99" t="s">
        <v>1140</v>
      </c>
      <c r="B200" s="113">
        <v>-4650</v>
      </c>
      <c r="C200" s="99">
        <v>2</v>
      </c>
      <c r="D200" s="99">
        <f t="shared" si="8"/>
        <v>563</v>
      </c>
      <c r="E200" s="99">
        <f t="shared" si="7"/>
        <v>0</v>
      </c>
      <c r="F200" s="99">
        <f t="shared" si="5"/>
        <v>-2617950</v>
      </c>
      <c r="G200" s="99" t="s">
        <v>870</v>
      </c>
    </row>
    <row r="201" spans="1:7">
      <c r="A201" s="99" t="s">
        <v>1142</v>
      </c>
      <c r="B201" s="113">
        <v>159828</v>
      </c>
      <c r="C201" s="99">
        <v>3</v>
      </c>
      <c r="D201" s="99">
        <f t="shared" si="8"/>
        <v>561</v>
      </c>
      <c r="E201" s="99">
        <f t="shared" si="7"/>
        <v>1</v>
      </c>
      <c r="F201" s="99">
        <f t="shared" si="5"/>
        <v>89503680</v>
      </c>
      <c r="G201" s="99" t="s">
        <v>510</v>
      </c>
    </row>
    <row r="202" spans="1:7">
      <c r="A202" s="99" t="s">
        <v>1153</v>
      </c>
      <c r="B202" s="113">
        <v>-300500</v>
      </c>
      <c r="C202" s="99">
        <v>0</v>
      </c>
      <c r="D202" s="99">
        <f t="shared" si="8"/>
        <v>558</v>
      </c>
      <c r="E202" s="99">
        <f t="shared" si="7"/>
        <v>0</v>
      </c>
      <c r="F202" s="99">
        <f t="shared" si="5"/>
        <v>-167679000</v>
      </c>
      <c r="G202" s="99" t="s">
        <v>1157</v>
      </c>
    </row>
    <row r="203" spans="1:7">
      <c r="A203" s="99" t="s">
        <v>1153</v>
      </c>
      <c r="B203" s="113">
        <v>6000000</v>
      </c>
      <c r="C203" s="99">
        <v>2</v>
      </c>
      <c r="D203" s="99">
        <f t="shared" si="8"/>
        <v>558</v>
      </c>
      <c r="E203" s="99">
        <f t="shared" si="7"/>
        <v>1</v>
      </c>
      <c r="F203" s="99">
        <f t="shared" si="5"/>
        <v>3342000000</v>
      </c>
      <c r="G203" s="99" t="s">
        <v>1158</v>
      </c>
    </row>
    <row r="204" spans="1:7">
      <c r="A204" s="99" t="s">
        <v>1162</v>
      </c>
      <c r="B204" s="113">
        <v>-685000</v>
      </c>
      <c r="C204" s="99">
        <v>1</v>
      </c>
      <c r="D204" s="99">
        <f t="shared" si="8"/>
        <v>556</v>
      </c>
      <c r="E204" s="99">
        <f t="shared" si="7"/>
        <v>0</v>
      </c>
      <c r="F204" s="99">
        <f t="shared" si="5"/>
        <v>-380860000</v>
      </c>
      <c r="G204" s="99" t="s">
        <v>1163</v>
      </c>
    </row>
    <row r="205" spans="1:7">
      <c r="A205" s="99" t="s">
        <v>1164</v>
      </c>
      <c r="B205" s="113">
        <v>-3000000</v>
      </c>
      <c r="C205" s="99">
        <v>1</v>
      </c>
      <c r="D205" s="99">
        <f t="shared" si="8"/>
        <v>555</v>
      </c>
      <c r="E205" s="99">
        <f t="shared" si="7"/>
        <v>0</v>
      </c>
      <c r="F205" s="99">
        <f t="shared" si="5"/>
        <v>-1665000000</v>
      </c>
      <c r="G205" s="99" t="s">
        <v>723</v>
      </c>
    </row>
    <row r="206" spans="1:7">
      <c r="A206" s="99" t="s">
        <v>1169</v>
      </c>
      <c r="B206" s="113">
        <v>-156000</v>
      </c>
      <c r="C206" s="99">
        <v>1</v>
      </c>
      <c r="D206" s="99">
        <f t="shared" si="8"/>
        <v>554</v>
      </c>
      <c r="E206" s="99">
        <f t="shared" si="7"/>
        <v>0</v>
      </c>
      <c r="F206" s="99">
        <f t="shared" si="5"/>
        <v>-86424000</v>
      </c>
      <c r="G206" s="99" t="s">
        <v>1170</v>
      </c>
    </row>
    <row r="207" spans="1:7">
      <c r="A207" s="99" t="s">
        <v>1172</v>
      </c>
      <c r="B207" s="113">
        <v>-66000</v>
      </c>
      <c r="C207" s="99">
        <v>1</v>
      </c>
      <c r="D207" s="99">
        <f t="shared" si="8"/>
        <v>553</v>
      </c>
      <c r="E207" s="99">
        <f t="shared" si="7"/>
        <v>0</v>
      </c>
      <c r="F207" s="99">
        <f t="shared" si="5"/>
        <v>-36498000</v>
      </c>
      <c r="G207" s="99" t="s">
        <v>1177</v>
      </c>
    </row>
    <row r="208" spans="1:7">
      <c r="A208" s="99" t="s">
        <v>1178</v>
      </c>
      <c r="B208" s="113">
        <v>-2500900</v>
      </c>
      <c r="C208" s="99">
        <v>2</v>
      </c>
      <c r="D208" s="99">
        <f t="shared" si="8"/>
        <v>552</v>
      </c>
      <c r="E208" s="99">
        <f t="shared" si="7"/>
        <v>0</v>
      </c>
      <c r="F208" s="99">
        <f t="shared" si="5"/>
        <v>-1380496800</v>
      </c>
      <c r="G208" s="99" t="s">
        <v>1185</v>
      </c>
    </row>
    <row r="209" spans="1:7">
      <c r="A209" s="99" t="s">
        <v>1194</v>
      </c>
      <c r="B209" s="113">
        <v>3000000</v>
      </c>
      <c r="C209" s="99">
        <v>0</v>
      </c>
      <c r="D209" s="99">
        <f t="shared" si="8"/>
        <v>550</v>
      </c>
      <c r="E209" s="99">
        <f t="shared" si="7"/>
        <v>1</v>
      </c>
      <c r="F209" s="99">
        <f t="shared" si="5"/>
        <v>1647000000</v>
      </c>
      <c r="G209" s="99" t="s">
        <v>1200</v>
      </c>
    </row>
    <row r="210" spans="1:7">
      <c r="A210" s="99" t="s">
        <v>1194</v>
      </c>
      <c r="B210" s="113">
        <v>-2601400</v>
      </c>
      <c r="C210" s="99">
        <v>2</v>
      </c>
      <c r="D210" s="99">
        <f t="shared" si="8"/>
        <v>550</v>
      </c>
      <c r="E210" s="99">
        <f t="shared" si="7"/>
        <v>0</v>
      </c>
      <c r="F210" s="99">
        <f t="shared" si="5"/>
        <v>-1430770000</v>
      </c>
      <c r="G210" s="99" t="s">
        <v>1201</v>
      </c>
    </row>
    <row r="211" spans="1:7">
      <c r="A211" s="99" t="s">
        <v>1203</v>
      </c>
      <c r="B211" s="113">
        <v>1000000</v>
      </c>
      <c r="C211" s="99">
        <v>2</v>
      </c>
      <c r="D211" s="99">
        <f t="shared" si="8"/>
        <v>548</v>
      </c>
      <c r="E211" s="99">
        <f t="shared" si="7"/>
        <v>1</v>
      </c>
      <c r="F211" s="99">
        <f t="shared" si="5"/>
        <v>547000000</v>
      </c>
      <c r="G211" s="99" t="s">
        <v>1200</v>
      </c>
    </row>
    <row r="212" spans="1:7">
      <c r="A212" s="99" t="s">
        <v>1206</v>
      </c>
      <c r="B212" s="113">
        <v>1350000</v>
      </c>
      <c r="C212" s="99">
        <v>1</v>
      </c>
      <c r="D212" s="99">
        <f t="shared" si="8"/>
        <v>546</v>
      </c>
      <c r="E212" s="99">
        <f t="shared" si="7"/>
        <v>1</v>
      </c>
      <c r="F212" s="99">
        <f t="shared" si="5"/>
        <v>735750000</v>
      </c>
      <c r="G212" s="99" t="s">
        <v>1209</v>
      </c>
    </row>
    <row r="213" spans="1:7">
      <c r="A213" s="99" t="s">
        <v>1212</v>
      </c>
      <c r="B213" s="113">
        <v>-2200000</v>
      </c>
      <c r="C213" s="99">
        <v>0</v>
      </c>
      <c r="D213" s="99">
        <f t="shared" si="8"/>
        <v>545</v>
      </c>
      <c r="E213" s="99">
        <f t="shared" si="7"/>
        <v>0</v>
      </c>
      <c r="F213" s="99">
        <f t="shared" si="5"/>
        <v>-1199000000</v>
      </c>
      <c r="G213" s="99" t="s">
        <v>1213</v>
      </c>
    </row>
    <row r="214" spans="1:7">
      <c r="A214" s="99" t="s">
        <v>1210</v>
      </c>
      <c r="B214" s="113">
        <v>-500500</v>
      </c>
      <c r="C214" s="99">
        <v>3</v>
      </c>
      <c r="D214" s="99">
        <f t="shared" si="8"/>
        <v>545</v>
      </c>
      <c r="E214" s="99">
        <f t="shared" si="7"/>
        <v>0</v>
      </c>
      <c r="F214" s="99">
        <f t="shared" si="5"/>
        <v>-272772500</v>
      </c>
      <c r="G214" s="99" t="s">
        <v>1217</v>
      </c>
    </row>
    <row r="215" spans="1:7">
      <c r="A215" s="99" t="s">
        <v>1220</v>
      </c>
      <c r="B215" s="113">
        <v>-45000</v>
      </c>
      <c r="C215" s="99">
        <v>0</v>
      </c>
      <c r="D215" s="99">
        <f t="shared" si="8"/>
        <v>542</v>
      </c>
      <c r="E215" s="99">
        <f t="shared" si="7"/>
        <v>0</v>
      </c>
      <c r="F215" s="99">
        <f t="shared" si="5"/>
        <v>-24390000</v>
      </c>
      <c r="G215" s="99" t="s">
        <v>1223</v>
      </c>
    </row>
    <row r="216" spans="1:7">
      <c r="A216" s="99" t="s">
        <v>1220</v>
      </c>
      <c r="B216" s="113">
        <v>1000000</v>
      </c>
      <c r="C216" s="99">
        <v>0</v>
      </c>
      <c r="D216" s="99">
        <f t="shared" si="8"/>
        <v>542</v>
      </c>
      <c r="E216" s="99">
        <f t="shared" si="7"/>
        <v>1</v>
      </c>
      <c r="F216" s="99">
        <f t="shared" si="5"/>
        <v>541000000</v>
      </c>
      <c r="G216" s="99" t="s">
        <v>1224</v>
      </c>
    </row>
    <row r="217" spans="1:7">
      <c r="A217" s="99" t="s">
        <v>1220</v>
      </c>
      <c r="B217" s="113">
        <v>-100000</v>
      </c>
      <c r="C217" s="99">
        <v>1</v>
      </c>
      <c r="D217" s="99">
        <f t="shared" si="8"/>
        <v>542</v>
      </c>
      <c r="E217" s="99">
        <f t="shared" si="7"/>
        <v>0</v>
      </c>
      <c r="F217" s="99">
        <f t="shared" si="5"/>
        <v>-54200000</v>
      </c>
      <c r="G217" s="99" t="s">
        <v>502</v>
      </c>
    </row>
    <row r="218" spans="1:7">
      <c r="A218" s="99" t="s">
        <v>1226</v>
      </c>
      <c r="B218" s="113">
        <v>-300000</v>
      </c>
      <c r="C218" s="99">
        <v>3</v>
      </c>
      <c r="D218" s="99">
        <f t="shared" si="8"/>
        <v>541</v>
      </c>
      <c r="E218" s="99">
        <f t="shared" si="7"/>
        <v>0</v>
      </c>
      <c r="F218" s="99">
        <f t="shared" si="5"/>
        <v>-162300000</v>
      </c>
      <c r="G218" s="99" t="s">
        <v>1227</v>
      </c>
    </row>
    <row r="219" spans="1:7">
      <c r="A219" s="99" t="s">
        <v>1239</v>
      </c>
      <c r="B219" s="113">
        <v>-50910</v>
      </c>
      <c r="C219" s="99">
        <v>0</v>
      </c>
      <c r="D219" s="99">
        <f t="shared" si="8"/>
        <v>538</v>
      </c>
      <c r="E219" s="99">
        <f t="shared" si="7"/>
        <v>0</v>
      </c>
      <c r="F219" s="99">
        <f t="shared" si="5"/>
        <v>-27389580</v>
      </c>
      <c r="G219" s="99" t="s">
        <v>1240</v>
      </c>
    </row>
    <row r="220" spans="1:7">
      <c r="A220" s="99" t="s">
        <v>1239</v>
      </c>
      <c r="B220" s="113">
        <v>-550500</v>
      </c>
      <c r="C220" s="99">
        <v>2</v>
      </c>
      <c r="D220" s="99">
        <f t="shared" si="8"/>
        <v>538</v>
      </c>
      <c r="E220" s="99">
        <f t="shared" si="7"/>
        <v>0</v>
      </c>
      <c r="F220" s="99">
        <f t="shared" si="5"/>
        <v>-296169000</v>
      </c>
      <c r="G220" s="99" t="s">
        <v>1241</v>
      </c>
    </row>
    <row r="221" spans="1:7">
      <c r="A221" s="99" t="s">
        <v>3657</v>
      </c>
      <c r="B221" s="113">
        <v>1600000</v>
      </c>
      <c r="C221" s="99">
        <v>1</v>
      </c>
      <c r="D221" s="99">
        <f t="shared" si="8"/>
        <v>536</v>
      </c>
      <c r="E221" s="99">
        <f t="shared" si="7"/>
        <v>1</v>
      </c>
      <c r="F221" s="99">
        <f t="shared" si="5"/>
        <v>856000000</v>
      </c>
      <c r="G221" s="99" t="s">
        <v>3658</v>
      </c>
    </row>
    <row r="222" spans="1:7">
      <c r="A222" s="99" t="s">
        <v>3659</v>
      </c>
      <c r="B222" s="113">
        <v>-1500700</v>
      </c>
      <c r="C222" s="99">
        <v>5</v>
      </c>
      <c r="D222" s="99">
        <f t="shared" si="8"/>
        <v>535</v>
      </c>
      <c r="E222" s="99">
        <f t="shared" si="7"/>
        <v>0</v>
      </c>
      <c r="F222" s="99">
        <f t="shared" si="5"/>
        <v>-802874500</v>
      </c>
      <c r="G222" s="99" t="s">
        <v>3661</v>
      </c>
    </row>
    <row r="223" spans="1:7">
      <c r="A223" s="99" t="s">
        <v>3669</v>
      </c>
      <c r="B223" s="113">
        <v>8619</v>
      </c>
      <c r="C223" s="99">
        <v>3</v>
      </c>
      <c r="D223" s="99">
        <f t="shared" si="8"/>
        <v>530</v>
      </c>
      <c r="E223" s="99">
        <f t="shared" si="7"/>
        <v>1</v>
      </c>
      <c r="F223" s="99">
        <f t="shared" si="5"/>
        <v>4559451</v>
      </c>
      <c r="G223" s="99" t="s">
        <v>3672</v>
      </c>
    </row>
    <row r="224" spans="1:7">
      <c r="A224" s="11" t="s">
        <v>3676</v>
      </c>
      <c r="B224" s="3">
        <v>3000000</v>
      </c>
      <c r="C224" s="11">
        <v>2</v>
      </c>
      <c r="D224" s="99">
        <f t="shared" si="8"/>
        <v>527</v>
      </c>
      <c r="E224" s="99">
        <f t="shared" si="7"/>
        <v>1</v>
      </c>
      <c r="F224" s="99">
        <f t="shared" si="5"/>
        <v>1578000000</v>
      </c>
      <c r="G224" s="11" t="s">
        <v>1200</v>
      </c>
    </row>
    <row r="225" spans="1:7">
      <c r="A225" s="11" t="s">
        <v>3692</v>
      </c>
      <c r="B225" s="3">
        <v>-3000900</v>
      </c>
      <c r="C225" s="11">
        <v>1</v>
      </c>
      <c r="D225" s="99">
        <f t="shared" si="8"/>
        <v>525</v>
      </c>
      <c r="E225" s="99">
        <f t="shared" si="7"/>
        <v>0</v>
      </c>
      <c r="F225" s="99">
        <f t="shared" si="5"/>
        <v>-1575472500</v>
      </c>
      <c r="G225" s="11" t="s">
        <v>3693</v>
      </c>
    </row>
    <row r="226" spans="1:7">
      <c r="A226" s="99" t="s">
        <v>3698</v>
      </c>
      <c r="B226" s="113">
        <v>3000000</v>
      </c>
      <c r="C226" s="99">
        <v>0</v>
      </c>
      <c r="D226" s="99">
        <f t="shared" si="8"/>
        <v>524</v>
      </c>
      <c r="E226" s="99">
        <f t="shared" si="7"/>
        <v>1</v>
      </c>
      <c r="F226" s="99">
        <f t="shared" si="5"/>
        <v>1569000000</v>
      </c>
      <c r="G226" s="99" t="s">
        <v>616</v>
      </c>
    </row>
    <row r="227" spans="1:7">
      <c r="A227" s="99" t="s">
        <v>3698</v>
      </c>
      <c r="B227" s="113">
        <v>-175400</v>
      </c>
      <c r="C227" s="99">
        <v>1</v>
      </c>
      <c r="D227" s="99">
        <f t="shared" si="8"/>
        <v>524</v>
      </c>
      <c r="E227" s="99">
        <f t="shared" si="7"/>
        <v>0</v>
      </c>
      <c r="F227" s="99">
        <f t="shared" si="5"/>
        <v>-91909600</v>
      </c>
      <c r="G227" s="99" t="s">
        <v>3699</v>
      </c>
    </row>
    <row r="228" spans="1:7">
      <c r="A228" s="99" t="s">
        <v>3702</v>
      </c>
      <c r="B228" s="113">
        <v>-1200500</v>
      </c>
      <c r="C228" s="99">
        <v>0</v>
      </c>
      <c r="D228" s="99">
        <f t="shared" si="8"/>
        <v>523</v>
      </c>
      <c r="E228" s="99">
        <f t="shared" si="7"/>
        <v>0</v>
      </c>
      <c r="F228" s="99">
        <f t="shared" si="5"/>
        <v>-627861500</v>
      </c>
      <c r="G228" s="99" t="s">
        <v>3703</v>
      </c>
    </row>
    <row r="229" spans="1:7">
      <c r="A229" s="99" t="s">
        <v>3702</v>
      </c>
      <c r="B229" s="113">
        <v>-20555</v>
      </c>
      <c r="C229" s="99">
        <v>1</v>
      </c>
      <c r="D229" s="99">
        <f t="shared" si="8"/>
        <v>523</v>
      </c>
      <c r="E229" s="99">
        <f t="shared" si="7"/>
        <v>0</v>
      </c>
      <c r="F229" s="99">
        <f t="shared" si="5"/>
        <v>-10750265</v>
      </c>
      <c r="G229" s="99" t="s">
        <v>654</v>
      </c>
    </row>
    <row r="230" spans="1:7">
      <c r="A230" s="99" t="s">
        <v>3705</v>
      </c>
      <c r="B230" s="113">
        <v>-1014466</v>
      </c>
      <c r="C230" s="99">
        <v>1</v>
      </c>
      <c r="D230" s="99">
        <f t="shared" si="8"/>
        <v>522</v>
      </c>
      <c r="E230" s="99">
        <f t="shared" si="7"/>
        <v>0</v>
      </c>
      <c r="F230" s="99">
        <f t="shared" si="5"/>
        <v>-529551252</v>
      </c>
      <c r="G230" s="99" t="s">
        <v>3706</v>
      </c>
    </row>
    <row r="231" spans="1:7">
      <c r="A231" s="99" t="s">
        <v>3713</v>
      </c>
      <c r="B231" s="113">
        <v>-24225</v>
      </c>
      <c r="C231" s="99">
        <v>1</v>
      </c>
      <c r="D231" s="99">
        <f t="shared" si="8"/>
        <v>521</v>
      </c>
      <c r="E231" s="99">
        <f t="shared" si="7"/>
        <v>0</v>
      </c>
      <c r="F231" s="99">
        <f t="shared" si="5"/>
        <v>-12621225</v>
      </c>
      <c r="G231" s="99" t="s">
        <v>654</v>
      </c>
    </row>
    <row r="232" spans="1:7">
      <c r="A232" s="99" t="s">
        <v>3714</v>
      </c>
      <c r="B232" s="113">
        <v>1100000</v>
      </c>
      <c r="C232" s="99">
        <v>0</v>
      </c>
      <c r="D232" s="99">
        <f t="shared" si="8"/>
        <v>520</v>
      </c>
      <c r="E232" s="99">
        <f t="shared" si="7"/>
        <v>1</v>
      </c>
      <c r="F232" s="99">
        <f t="shared" si="5"/>
        <v>570900000</v>
      </c>
      <c r="G232" s="99" t="s">
        <v>3715</v>
      </c>
    </row>
    <row r="233" spans="1:7">
      <c r="A233" s="99" t="s">
        <v>3714</v>
      </c>
      <c r="B233" s="113">
        <v>-147900</v>
      </c>
      <c r="C233" s="99">
        <v>4</v>
      </c>
      <c r="D233" s="99">
        <f t="shared" si="8"/>
        <v>520</v>
      </c>
      <c r="E233" s="99">
        <f t="shared" si="7"/>
        <v>0</v>
      </c>
      <c r="F233" s="99">
        <f t="shared" si="5"/>
        <v>-76908000</v>
      </c>
      <c r="G233" s="99" t="s">
        <v>3721</v>
      </c>
    </row>
    <row r="234" spans="1:7">
      <c r="A234" s="99" t="s">
        <v>3728</v>
      </c>
      <c r="B234" s="113">
        <v>-67965</v>
      </c>
      <c r="C234" s="99">
        <v>5</v>
      </c>
      <c r="D234" s="99">
        <f t="shared" si="8"/>
        <v>516</v>
      </c>
      <c r="E234" s="99">
        <f t="shared" si="7"/>
        <v>0</v>
      </c>
      <c r="F234" s="99">
        <f t="shared" si="5"/>
        <v>-35069940</v>
      </c>
      <c r="G234" s="99" t="s">
        <v>654</v>
      </c>
    </row>
    <row r="235" spans="1:7">
      <c r="A235" s="99" t="s">
        <v>3754</v>
      </c>
      <c r="B235" s="113">
        <v>-114734</v>
      </c>
      <c r="C235" s="99">
        <v>1</v>
      </c>
      <c r="D235" s="99">
        <f t="shared" si="8"/>
        <v>511</v>
      </c>
      <c r="E235" s="99">
        <f t="shared" si="7"/>
        <v>0</v>
      </c>
      <c r="F235" s="99">
        <f t="shared" si="5"/>
        <v>-58629074</v>
      </c>
      <c r="G235" s="99" t="s">
        <v>3755</v>
      </c>
    </row>
    <row r="236" spans="1:7">
      <c r="A236" s="99" t="s">
        <v>1141</v>
      </c>
      <c r="B236" s="113">
        <v>-360000</v>
      </c>
      <c r="C236" s="99">
        <v>0</v>
      </c>
      <c r="D236" s="99">
        <f t="shared" si="8"/>
        <v>510</v>
      </c>
      <c r="E236" s="99">
        <f t="shared" si="7"/>
        <v>0</v>
      </c>
      <c r="F236" s="99">
        <f t="shared" si="5"/>
        <v>-183600000</v>
      </c>
      <c r="G236" s="99" t="s">
        <v>3756</v>
      </c>
    </row>
    <row r="237" spans="1:7">
      <c r="A237" s="99" t="s">
        <v>1141</v>
      </c>
      <c r="B237" s="113">
        <v>-211000</v>
      </c>
      <c r="C237" s="99">
        <v>0</v>
      </c>
      <c r="D237" s="99">
        <f t="shared" si="8"/>
        <v>510</v>
      </c>
      <c r="E237" s="99">
        <f t="shared" si="7"/>
        <v>0</v>
      </c>
      <c r="F237" s="99">
        <f t="shared" si="5"/>
        <v>-107610000</v>
      </c>
      <c r="G237" s="99" t="s">
        <v>3758</v>
      </c>
    </row>
    <row r="238" spans="1:7">
      <c r="A238" s="99" t="s">
        <v>1141</v>
      </c>
      <c r="B238" s="113">
        <v>-189700</v>
      </c>
      <c r="C238" s="99">
        <v>1</v>
      </c>
      <c r="D238" s="99">
        <f t="shared" si="8"/>
        <v>510</v>
      </c>
      <c r="E238" s="99">
        <f t="shared" si="7"/>
        <v>0</v>
      </c>
      <c r="F238" s="99">
        <f t="shared" si="5"/>
        <v>-96747000</v>
      </c>
      <c r="G238" s="99" t="s">
        <v>3761</v>
      </c>
    </row>
    <row r="239" spans="1:7">
      <c r="A239" s="99" t="s">
        <v>3762</v>
      </c>
      <c r="B239" s="113">
        <v>-400500</v>
      </c>
      <c r="C239" s="99">
        <v>0</v>
      </c>
      <c r="D239" s="99">
        <f t="shared" si="8"/>
        <v>509</v>
      </c>
      <c r="E239" s="99">
        <f t="shared" si="7"/>
        <v>0</v>
      </c>
      <c r="F239" s="99">
        <f t="shared" si="5"/>
        <v>-203854500</v>
      </c>
      <c r="G239" s="99" t="s">
        <v>3763</v>
      </c>
    </row>
    <row r="240" spans="1:7">
      <c r="A240" s="99" t="s">
        <v>3762</v>
      </c>
      <c r="B240" s="113">
        <v>400000</v>
      </c>
      <c r="C240" s="99">
        <v>3</v>
      </c>
      <c r="D240" s="99">
        <f t="shared" si="8"/>
        <v>509</v>
      </c>
      <c r="E240" s="99">
        <f t="shared" si="7"/>
        <v>1</v>
      </c>
      <c r="F240" s="99">
        <f t="shared" si="5"/>
        <v>203200000</v>
      </c>
      <c r="G240" s="99" t="s">
        <v>3764</v>
      </c>
    </row>
    <row r="241" spans="1:7">
      <c r="A241" s="99" t="s">
        <v>3779</v>
      </c>
      <c r="B241" s="113">
        <v>-320875</v>
      </c>
      <c r="C241" s="99">
        <v>7</v>
      </c>
      <c r="D241" s="99">
        <f t="shared" si="8"/>
        <v>506</v>
      </c>
      <c r="E241" s="99">
        <f t="shared" si="7"/>
        <v>0</v>
      </c>
      <c r="F241" s="99">
        <f t="shared" si="5"/>
        <v>-162362750</v>
      </c>
      <c r="G241" s="99" t="s">
        <v>3780</v>
      </c>
    </row>
    <row r="242" spans="1:7">
      <c r="A242" s="99" t="s">
        <v>3789</v>
      </c>
      <c r="B242" s="113">
        <v>6074</v>
      </c>
      <c r="C242" s="99">
        <v>2</v>
      </c>
      <c r="D242" s="99">
        <f t="shared" si="8"/>
        <v>499</v>
      </c>
      <c r="E242" s="99">
        <f t="shared" si="7"/>
        <v>1</v>
      </c>
      <c r="F242" s="99">
        <f t="shared" si="5"/>
        <v>3024852</v>
      </c>
      <c r="G242" s="99" t="s">
        <v>585</v>
      </c>
    </row>
    <row r="243" spans="1:7">
      <c r="A243" s="99" t="s">
        <v>3791</v>
      </c>
      <c r="B243" s="113">
        <v>-370500</v>
      </c>
      <c r="C243" s="99">
        <v>15</v>
      </c>
      <c r="D243" s="99">
        <f t="shared" si="8"/>
        <v>497</v>
      </c>
      <c r="E243" s="99">
        <f t="shared" si="7"/>
        <v>0</v>
      </c>
      <c r="F243" s="99">
        <f t="shared" si="5"/>
        <v>-184138500</v>
      </c>
      <c r="G243" s="99" t="s">
        <v>3792</v>
      </c>
    </row>
    <row r="244" spans="1:7">
      <c r="A244" s="99" t="s">
        <v>3900</v>
      </c>
      <c r="B244" s="113">
        <v>3000000</v>
      </c>
      <c r="C244" s="99">
        <v>2</v>
      </c>
      <c r="D244" s="99">
        <f t="shared" si="8"/>
        <v>482</v>
      </c>
      <c r="E244" s="99">
        <f t="shared" si="7"/>
        <v>1</v>
      </c>
      <c r="F244" s="99">
        <f t="shared" si="5"/>
        <v>1443000000</v>
      </c>
      <c r="G244" s="99" t="s">
        <v>3901</v>
      </c>
    </row>
    <row r="245" spans="1:7">
      <c r="A245" s="99" t="s">
        <v>3908</v>
      </c>
      <c r="B245" s="113">
        <v>-80000</v>
      </c>
      <c r="C245" s="99">
        <v>1</v>
      </c>
      <c r="D245" s="99">
        <f t="shared" si="8"/>
        <v>480</v>
      </c>
      <c r="E245" s="99">
        <f t="shared" si="7"/>
        <v>0</v>
      </c>
      <c r="F245" s="99">
        <f t="shared" si="5"/>
        <v>-38400000</v>
      </c>
      <c r="G245" s="99" t="s">
        <v>502</v>
      </c>
    </row>
    <row r="246" spans="1:7">
      <c r="A246" s="99" t="s">
        <v>3909</v>
      </c>
      <c r="B246" s="113">
        <v>-2700000</v>
      </c>
      <c r="C246" s="99">
        <v>0</v>
      </c>
      <c r="D246" s="99">
        <f t="shared" si="8"/>
        <v>479</v>
      </c>
      <c r="E246" s="99">
        <f t="shared" si="7"/>
        <v>0</v>
      </c>
      <c r="F246" s="99">
        <f t="shared" si="5"/>
        <v>-1293300000</v>
      </c>
      <c r="G246" s="99" t="s">
        <v>3911</v>
      </c>
    </row>
    <row r="247" spans="1:7">
      <c r="A247" s="99" t="s">
        <v>3909</v>
      </c>
      <c r="B247" s="113">
        <v>-30000</v>
      </c>
      <c r="C247" s="99">
        <v>2</v>
      </c>
      <c r="D247" s="99">
        <f t="shared" si="8"/>
        <v>479</v>
      </c>
      <c r="E247" s="99">
        <f t="shared" si="7"/>
        <v>0</v>
      </c>
      <c r="F247" s="99">
        <f t="shared" si="5"/>
        <v>-14370000</v>
      </c>
      <c r="G247" s="99" t="s">
        <v>3911</v>
      </c>
    </row>
    <row r="248" spans="1:7">
      <c r="A248" s="99" t="s">
        <v>3915</v>
      </c>
      <c r="B248" s="113">
        <v>-120000</v>
      </c>
      <c r="C248" s="99">
        <v>1</v>
      </c>
      <c r="D248" s="99">
        <f t="shared" si="8"/>
        <v>477</v>
      </c>
      <c r="E248" s="99">
        <f t="shared" si="7"/>
        <v>0</v>
      </c>
      <c r="F248" s="99">
        <f t="shared" si="5"/>
        <v>-57240000</v>
      </c>
      <c r="G248" s="99" t="s">
        <v>3916</v>
      </c>
    </row>
    <row r="249" spans="1:7">
      <c r="A249" s="74" t="s">
        <v>3933</v>
      </c>
      <c r="B249" s="163">
        <v>-56425</v>
      </c>
      <c r="C249" s="99">
        <v>1</v>
      </c>
      <c r="D249" s="99">
        <f t="shared" si="8"/>
        <v>476</v>
      </c>
      <c r="E249" s="99">
        <f>IF(B250&gt;0,1,0)</f>
        <v>1</v>
      </c>
      <c r="F249" s="99">
        <f t="shared" si="5"/>
        <v>-26801875</v>
      </c>
      <c r="G249" s="74" t="s">
        <v>654</v>
      </c>
    </row>
    <row r="250" spans="1:7">
      <c r="A250" s="99" t="s">
        <v>3923</v>
      </c>
      <c r="B250" s="113">
        <v>800000</v>
      </c>
      <c r="C250" s="99">
        <v>1</v>
      </c>
      <c r="D250" s="99">
        <f t="shared" si="8"/>
        <v>475</v>
      </c>
      <c r="E250" s="99">
        <f>IF(B251&gt;0,1,0)</f>
        <v>0</v>
      </c>
      <c r="F250" s="99">
        <f t="shared" ref="F250:F313" si="9">B250*(D250-E250)</f>
        <v>380000000</v>
      </c>
      <c r="G250" s="99" t="s">
        <v>3888</v>
      </c>
    </row>
    <row r="251" spans="1:7">
      <c r="A251" s="99" t="s">
        <v>3928</v>
      </c>
      <c r="B251" s="113">
        <v>-19450</v>
      </c>
      <c r="C251" s="99">
        <v>0</v>
      </c>
      <c r="D251" s="99">
        <f t="shared" si="8"/>
        <v>474</v>
      </c>
      <c r="E251" s="99">
        <f>IF(B252&gt;0,1,0)</f>
        <v>0</v>
      </c>
      <c r="F251" s="99">
        <f t="shared" si="9"/>
        <v>-9219300</v>
      </c>
      <c r="G251" s="99" t="s">
        <v>3931</v>
      </c>
    </row>
    <row r="252" spans="1:7">
      <c r="A252" s="99" t="s">
        <v>3928</v>
      </c>
      <c r="B252" s="113">
        <v>-500000</v>
      </c>
      <c r="C252" s="99">
        <v>0</v>
      </c>
      <c r="D252" s="99">
        <f t="shared" si="8"/>
        <v>474</v>
      </c>
      <c r="E252" s="99">
        <f>IF(B253&gt;0,1,0)</f>
        <v>1</v>
      </c>
      <c r="F252" s="99">
        <f t="shared" si="9"/>
        <v>-236500000</v>
      </c>
      <c r="G252" s="99" t="s">
        <v>3932</v>
      </c>
    </row>
    <row r="253" spans="1:7">
      <c r="A253" s="99" t="s">
        <v>3928</v>
      </c>
      <c r="B253" s="113">
        <v>500000</v>
      </c>
      <c r="C253" s="99">
        <v>0</v>
      </c>
      <c r="D253" s="99">
        <f t="shared" si="8"/>
        <v>474</v>
      </c>
      <c r="E253" s="99">
        <f t="shared" ref="E253:E275" si="10">IF(B254&gt;0,1,0)</f>
        <v>0</v>
      </c>
      <c r="F253" s="99">
        <f t="shared" si="9"/>
        <v>237000000</v>
      </c>
      <c r="G253" s="99" t="s">
        <v>3932</v>
      </c>
    </row>
    <row r="254" spans="1:7">
      <c r="A254" s="99" t="s">
        <v>3928</v>
      </c>
      <c r="B254" s="113">
        <v>-454613</v>
      </c>
      <c r="C254" s="99">
        <v>1</v>
      </c>
      <c r="D254" s="99">
        <f t="shared" si="8"/>
        <v>474</v>
      </c>
      <c r="E254" s="99">
        <f t="shared" si="10"/>
        <v>0</v>
      </c>
      <c r="F254" s="99">
        <f t="shared" si="9"/>
        <v>-215486562</v>
      </c>
      <c r="G254" s="99" t="s">
        <v>3934</v>
      </c>
    </row>
    <row r="255" spans="1:7">
      <c r="A255" s="99" t="s">
        <v>3936</v>
      </c>
      <c r="B255" s="113">
        <v>-19600</v>
      </c>
      <c r="C255" s="99">
        <v>0</v>
      </c>
      <c r="D255" s="99">
        <f t="shared" si="8"/>
        <v>473</v>
      </c>
      <c r="E255" s="99">
        <f t="shared" si="10"/>
        <v>0</v>
      </c>
      <c r="F255" s="99">
        <f t="shared" si="9"/>
        <v>-9270800</v>
      </c>
      <c r="G255" s="99" t="s">
        <v>3938</v>
      </c>
    </row>
    <row r="256" spans="1:7">
      <c r="A256" s="99" t="s">
        <v>3936</v>
      </c>
      <c r="B256" s="113">
        <v>-25220</v>
      </c>
      <c r="C256" s="99">
        <v>1</v>
      </c>
      <c r="D256" s="99">
        <f t="shared" si="8"/>
        <v>473</v>
      </c>
      <c r="E256" s="99">
        <f t="shared" si="10"/>
        <v>0</v>
      </c>
      <c r="F256" s="99">
        <f t="shared" si="9"/>
        <v>-11929060</v>
      </c>
      <c r="G256" s="99" t="s">
        <v>3755</v>
      </c>
    </row>
    <row r="257" spans="1:11">
      <c r="A257" s="99" t="s">
        <v>3940</v>
      </c>
      <c r="B257" s="113">
        <v>-149500</v>
      </c>
      <c r="C257" s="99">
        <v>0</v>
      </c>
      <c r="D257" s="99">
        <f t="shared" si="8"/>
        <v>472</v>
      </c>
      <c r="E257" s="99">
        <f t="shared" si="10"/>
        <v>0</v>
      </c>
      <c r="F257" s="99">
        <f t="shared" si="9"/>
        <v>-70564000</v>
      </c>
      <c r="G257" s="99" t="s">
        <v>3941</v>
      </c>
    </row>
    <row r="258" spans="1:11">
      <c r="A258" s="99" t="s">
        <v>3940</v>
      </c>
      <c r="B258" s="113">
        <v>-155000</v>
      </c>
      <c r="C258" s="99">
        <v>82</v>
      </c>
      <c r="D258" s="99">
        <f t="shared" si="8"/>
        <v>472</v>
      </c>
      <c r="E258" s="99">
        <f t="shared" si="10"/>
        <v>0</v>
      </c>
      <c r="F258" s="99">
        <f t="shared" si="9"/>
        <v>-73160000</v>
      </c>
      <c r="G258" s="99" t="s">
        <v>3942</v>
      </c>
    </row>
    <row r="259" spans="1:11">
      <c r="A259" s="99" t="s">
        <v>4232</v>
      </c>
      <c r="B259" s="113">
        <v>-5000</v>
      </c>
      <c r="C259" s="99">
        <v>82</v>
      </c>
      <c r="D259" s="99">
        <f t="shared" si="8"/>
        <v>390</v>
      </c>
      <c r="E259" s="99">
        <f t="shared" si="10"/>
        <v>1</v>
      </c>
      <c r="F259" s="99">
        <f t="shared" si="9"/>
        <v>-1945000</v>
      </c>
      <c r="G259" s="99" t="s">
        <v>4239</v>
      </c>
    </row>
    <row r="260" spans="1:11">
      <c r="A260" s="99" t="s">
        <v>4558</v>
      </c>
      <c r="B260" s="113">
        <v>100000</v>
      </c>
      <c r="C260" s="99">
        <v>1</v>
      </c>
      <c r="D260" s="99">
        <f t="shared" si="8"/>
        <v>308</v>
      </c>
      <c r="E260" s="99">
        <f t="shared" si="10"/>
        <v>1</v>
      </c>
      <c r="F260" s="99">
        <f t="shared" si="9"/>
        <v>30700000</v>
      </c>
      <c r="G260" s="99" t="s">
        <v>3888</v>
      </c>
    </row>
    <row r="261" spans="1:11">
      <c r="A261" s="99" t="s">
        <v>992</v>
      </c>
      <c r="B261" s="113">
        <v>3000000</v>
      </c>
      <c r="C261" s="99">
        <v>3</v>
      </c>
      <c r="D261" s="99">
        <f t="shared" si="8"/>
        <v>307</v>
      </c>
      <c r="E261" s="99">
        <f t="shared" si="10"/>
        <v>0</v>
      </c>
      <c r="F261" s="99">
        <f t="shared" si="9"/>
        <v>921000000</v>
      </c>
      <c r="G261" s="99" t="s">
        <v>3888</v>
      </c>
    </row>
    <row r="262" spans="1:11">
      <c r="A262" s="99" t="s">
        <v>4570</v>
      </c>
      <c r="B262" s="113">
        <v>-66500</v>
      </c>
      <c r="C262" s="99">
        <v>2</v>
      </c>
      <c r="D262" s="99">
        <f t="shared" si="8"/>
        <v>304</v>
      </c>
      <c r="E262" s="99">
        <f t="shared" si="10"/>
        <v>0</v>
      </c>
      <c r="F262" s="99">
        <f t="shared" si="9"/>
        <v>-20216000</v>
      </c>
      <c r="G262" s="99" t="s">
        <v>3961</v>
      </c>
      <c r="K262" t="s">
        <v>25</v>
      </c>
    </row>
    <row r="263" spans="1:11">
      <c r="A263" s="99" t="s">
        <v>4571</v>
      </c>
      <c r="B263" s="113">
        <v>-37878</v>
      </c>
      <c r="C263" s="99">
        <v>2</v>
      </c>
      <c r="D263" s="99">
        <f t="shared" si="8"/>
        <v>302</v>
      </c>
      <c r="E263" s="99">
        <f t="shared" si="10"/>
        <v>0</v>
      </c>
      <c r="F263" s="99">
        <f t="shared" si="9"/>
        <v>-11439156</v>
      </c>
      <c r="G263" s="99" t="s">
        <v>4572</v>
      </c>
      <c r="J263" t="s">
        <v>25</v>
      </c>
      <c r="K263" t="s">
        <v>25</v>
      </c>
    </row>
    <row r="264" spans="1:11">
      <c r="A264" s="99" t="s">
        <v>4567</v>
      </c>
      <c r="B264" s="113">
        <v>-41500</v>
      </c>
      <c r="C264" s="99">
        <v>3</v>
      </c>
      <c r="D264" s="99">
        <f t="shared" si="8"/>
        <v>300</v>
      </c>
      <c r="E264" s="99">
        <f t="shared" si="10"/>
        <v>0</v>
      </c>
      <c r="F264" s="99">
        <f t="shared" si="9"/>
        <v>-12450000</v>
      </c>
      <c r="G264" s="99" t="s">
        <v>1037</v>
      </c>
      <c r="J264" t="s">
        <v>25</v>
      </c>
    </row>
    <row r="265" spans="1:11">
      <c r="A265" s="99" t="s">
        <v>4598</v>
      </c>
      <c r="B265" s="113">
        <v>-190000</v>
      </c>
      <c r="C265" s="99">
        <v>1</v>
      </c>
      <c r="D265" s="99">
        <f t="shared" si="8"/>
        <v>297</v>
      </c>
      <c r="E265" s="99">
        <f t="shared" si="10"/>
        <v>0</v>
      </c>
      <c r="F265" s="99">
        <f t="shared" si="9"/>
        <v>-56430000</v>
      </c>
      <c r="G265" s="99"/>
    </row>
    <row r="266" spans="1:11">
      <c r="A266" s="99" t="s">
        <v>4597</v>
      </c>
      <c r="B266" s="113">
        <v>-55000</v>
      </c>
      <c r="C266" s="99">
        <v>1</v>
      </c>
      <c r="D266" s="99">
        <f t="shared" si="8"/>
        <v>296</v>
      </c>
      <c r="E266" s="99">
        <f t="shared" si="10"/>
        <v>0</v>
      </c>
      <c r="F266" s="99">
        <f t="shared" si="9"/>
        <v>-16280000</v>
      </c>
      <c r="G266" s="99"/>
    </row>
    <row r="267" spans="1:11">
      <c r="A267" s="99" t="s">
        <v>4586</v>
      </c>
      <c r="B267" s="113">
        <v>-29395</v>
      </c>
      <c r="C267" s="99">
        <v>2</v>
      </c>
      <c r="D267" s="99">
        <f t="shared" si="8"/>
        <v>295</v>
      </c>
      <c r="E267" s="99">
        <f t="shared" si="10"/>
        <v>0</v>
      </c>
      <c r="F267" s="99">
        <f t="shared" si="9"/>
        <v>-8671525</v>
      </c>
      <c r="G267" s="99"/>
    </row>
    <row r="268" spans="1:11">
      <c r="A268" s="99" t="s">
        <v>4225</v>
      </c>
      <c r="B268" s="113">
        <v>-50000</v>
      </c>
      <c r="C268" s="99">
        <v>1</v>
      </c>
      <c r="D268" s="99">
        <f t="shared" si="8"/>
        <v>293</v>
      </c>
      <c r="E268" s="99">
        <f t="shared" si="10"/>
        <v>0</v>
      </c>
      <c r="F268" s="99">
        <f t="shared" si="9"/>
        <v>-14650000</v>
      </c>
      <c r="G268" s="99"/>
    </row>
    <row r="269" spans="1:11">
      <c r="A269" s="99" t="s">
        <v>4600</v>
      </c>
      <c r="B269" s="113">
        <v>-80000</v>
      </c>
      <c r="C269" s="99">
        <v>1</v>
      </c>
      <c r="D269" s="99">
        <f t="shared" si="8"/>
        <v>292</v>
      </c>
      <c r="E269" s="99">
        <f t="shared" si="10"/>
        <v>0</v>
      </c>
      <c r="F269" s="99">
        <f t="shared" si="9"/>
        <v>-23360000</v>
      </c>
      <c r="G269" s="99"/>
    </row>
    <row r="270" spans="1:11">
      <c r="A270" s="99" t="s">
        <v>3688</v>
      </c>
      <c r="B270" s="113">
        <v>-98909</v>
      </c>
      <c r="C270" s="99">
        <v>3</v>
      </c>
      <c r="D270" s="99">
        <f t="shared" si="8"/>
        <v>291</v>
      </c>
      <c r="E270" s="99">
        <f t="shared" si="10"/>
        <v>0</v>
      </c>
      <c r="F270" s="99">
        <f t="shared" si="9"/>
        <v>-28782519</v>
      </c>
      <c r="G270" s="99"/>
    </row>
    <row r="271" spans="1:11">
      <c r="A271" s="99" t="s">
        <v>4605</v>
      </c>
      <c r="B271" s="113">
        <v>-9380</v>
      </c>
      <c r="C271" s="99">
        <v>0</v>
      </c>
      <c r="D271" s="99">
        <f t="shared" si="8"/>
        <v>288</v>
      </c>
      <c r="E271" s="99">
        <f t="shared" si="10"/>
        <v>0</v>
      </c>
      <c r="F271" s="99">
        <f t="shared" si="9"/>
        <v>-2701440</v>
      </c>
      <c r="G271" s="99"/>
    </row>
    <row r="272" spans="1:11">
      <c r="A272" s="99" t="s">
        <v>4605</v>
      </c>
      <c r="B272" s="113">
        <v>-2400000</v>
      </c>
      <c r="C272" s="99">
        <v>3</v>
      </c>
      <c r="D272" s="99">
        <f t="shared" si="8"/>
        <v>288</v>
      </c>
      <c r="E272" s="99">
        <f t="shared" si="10"/>
        <v>1</v>
      </c>
      <c r="F272" s="99">
        <f t="shared" si="9"/>
        <v>-688800000</v>
      </c>
      <c r="G272" s="99"/>
    </row>
    <row r="273" spans="1:11">
      <c r="A273" s="99" t="s">
        <v>4615</v>
      </c>
      <c r="B273" s="113">
        <v>15000</v>
      </c>
      <c r="C273" s="99">
        <v>93</v>
      </c>
      <c r="D273" s="99">
        <f t="shared" si="8"/>
        <v>285</v>
      </c>
      <c r="E273" s="99">
        <f t="shared" si="10"/>
        <v>1</v>
      </c>
      <c r="F273" s="99">
        <f t="shared" si="9"/>
        <v>4260000</v>
      </c>
      <c r="G273" s="99"/>
    </row>
    <row r="274" spans="1:11">
      <c r="A274" s="99" t="s">
        <v>4910</v>
      </c>
      <c r="B274" s="113">
        <v>3500000</v>
      </c>
      <c r="C274" s="99">
        <v>0</v>
      </c>
      <c r="D274" s="99">
        <f t="shared" si="8"/>
        <v>192</v>
      </c>
      <c r="E274" s="99">
        <f t="shared" si="10"/>
        <v>0</v>
      </c>
      <c r="F274" s="99">
        <f t="shared" si="9"/>
        <v>672000000</v>
      </c>
      <c r="G274" s="99"/>
    </row>
    <row r="275" spans="1:11">
      <c r="A275" s="99" t="s">
        <v>4910</v>
      </c>
      <c r="B275" s="113">
        <v>-224012</v>
      </c>
      <c r="C275" s="99">
        <v>2</v>
      </c>
      <c r="D275" s="99">
        <f t="shared" si="8"/>
        <v>192</v>
      </c>
      <c r="E275" s="99">
        <f t="shared" si="10"/>
        <v>0</v>
      </c>
      <c r="F275" s="99">
        <f t="shared" si="9"/>
        <v>-43010304</v>
      </c>
      <c r="G275" s="99"/>
    </row>
    <row r="276" spans="1:11">
      <c r="A276" s="99" t="s">
        <v>4931</v>
      </c>
      <c r="B276" s="113">
        <v>-104671</v>
      </c>
      <c r="C276" s="99">
        <v>1</v>
      </c>
      <c r="D276" s="99">
        <f t="shared" ref="D276:D280" si="11">D277+C276</f>
        <v>190</v>
      </c>
      <c r="E276" s="99">
        <f t="shared" ref="E276:E280" si="12">IF(B277&gt;0,1,0)</f>
        <v>0</v>
      </c>
      <c r="F276" s="99">
        <f t="shared" si="9"/>
        <v>-19887490</v>
      </c>
      <c r="G276" s="99"/>
    </row>
    <row r="277" spans="1:11">
      <c r="A277" s="99" t="s">
        <v>4933</v>
      </c>
      <c r="B277" s="113">
        <v>-272000</v>
      </c>
      <c r="C277" s="99">
        <v>1</v>
      </c>
      <c r="D277" s="99">
        <f t="shared" si="11"/>
        <v>189</v>
      </c>
      <c r="E277" s="99">
        <f t="shared" si="12"/>
        <v>0</v>
      </c>
      <c r="F277" s="99">
        <f t="shared" si="9"/>
        <v>-51408000</v>
      </c>
      <c r="G277" s="99"/>
    </row>
    <row r="278" spans="1:11">
      <c r="A278" s="99" t="s">
        <v>4935</v>
      </c>
      <c r="B278" s="113">
        <v>-2565078</v>
      </c>
      <c r="C278" s="99">
        <v>2</v>
      </c>
      <c r="D278" s="99">
        <f t="shared" si="11"/>
        <v>188</v>
      </c>
      <c r="E278" s="99">
        <f t="shared" si="12"/>
        <v>0</v>
      </c>
      <c r="F278" s="99">
        <f t="shared" si="9"/>
        <v>-482234664</v>
      </c>
      <c r="G278" s="99"/>
    </row>
    <row r="279" spans="1:11">
      <c r="A279" s="99" t="s">
        <v>4882</v>
      </c>
      <c r="B279" s="113">
        <v>-213500</v>
      </c>
      <c r="C279" s="99">
        <v>1</v>
      </c>
      <c r="D279" s="99">
        <f t="shared" si="11"/>
        <v>186</v>
      </c>
      <c r="E279" s="99">
        <f t="shared" si="12"/>
        <v>0</v>
      </c>
      <c r="F279" s="99">
        <f t="shared" si="9"/>
        <v>-39711000</v>
      </c>
      <c r="G279" s="99"/>
    </row>
    <row r="280" spans="1:11">
      <c r="A280" s="99" t="s">
        <v>4952</v>
      </c>
      <c r="B280" s="113">
        <v>-3810</v>
      </c>
      <c r="C280" s="99">
        <v>1</v>
      </c>
      <c r="D280" s="99">
        <f t="shared" si="11"/>
        <v>185</v>
      </c>
      <c r="E280" s="99">
        <f t="shared" si="12"/>
        <v>0</v>
      </c>
      <c r="F280" s="99">
        <f t="shared" si="9"/>
        <v>-704850</v>
      </c>
      <c r="G280" s="99"/>
      <c r="J280" t="s">
        <v>25</v>
      </c>
    </row>
    <row r="281" spans="1:11">
      <c r="A281" s="99" t="s">
        <v>4953</v>
      </c>
      <c r="B281" s="113">
        <v>-120632</v>
      </c>
      <c r="C281" s="99">
        <v>1</v>
      </c>
      <c r="D281" s="99">
        <f t="shared" ref="D281:D288" si="13">D282+C281</f>
        <v>184</v>
      </c>
      <c r="E281" s="99">
        <f t="shared" ref="E281:E288" si="14">IF(B282&gt;0,1,0)</f>
        <v>1</v>
      </c>
      <c r="F281" s="99">
        <f t="shared" si="9"/>
        <v>-22075656</v>
      </c>
      <c r="G281" s="99"/>
      <c r="J281" t="s">
        <v>25</v>
      </c>
    </row>
    <row r="282" spans="1:11">
      <c r="A282" s="99" t="s">
        <v>4941</v>
      </c>
      <c r="B282" s="113">
        <v>80000</v>
      </c>
      <c r="C282" s="99">
        <v>0</v>
      </c>
      <c r="D282" s="99">
        <f t="shared" si="13"/>
        <v>183</v>
      </c>
      <c r="E282" s="99">
        <f t="shared" si="14"/>
        <v>0</v>
      </c>
      <c r="F282" s="99">
        <f t="shared" si="9"/>
        <v>14640000</v>
      </c>
      <c r="G282" s="99"/>
    </row>
    <row r="283" spans="1:11">
      <c r="A283" s="99" t="s">
        <v>4941</v>
      </c>
      <c r="B283" s="113">
        <v>-2500</v>
      </c>
      <c r="C283" s="99">
        <v>1</v>
      </c>
      <c r="D283" s="99">
        <f t="shared" si="13"/>
        <v>183</v>
      </c>
      <c r="E283" s="99">
        <f t="shared" si="14"/>
        <v>0</v>
      </c>
      <c r="F283" s="99">
        <f t="shared" si="9"/>
        <v>-457500</v>
      </c>
      <c r="G283" s="99"/>
      <c r="J283" s="114">
        <f>B359-498804</f>
        <v>465745</v>
      </c>
    </row>
    <row r="284" spans="1:11">
      <c r="A284" s="99" t="s">
        <v>4946</v>
      </c>
      <c r="B284" s="113">
        <v>-30000</v>
      </c>
      <c r="C284" s="99">
        <v>1</v>
      </c>
      <c r="D284" s="99">
        <f t="shared" si="13"/>
        <v>182</v>
      </c>
      <c r="E284" s="99">
        <f t="shared" si="14"/>
        <v>0</v>
      </c>
      <c r="F284" s="99">
        <f t="shared" si="9"/>
        <v>-5460000</v>
      </c>
      <c r="G284" s="99"/>
    </row>
    <row r="285" spans="1:11">
      <c r="A285" s="99" t="s">
        <v>4954</v>
      </c>
      <c r="B285" s="113">
        <v>-19800</v>
      </c>
      <c r="C285" s="99">
        <v>1</v>
      </c>
      <c r="D285" s="99">
        <f t="shared" si="13"/>
        <v>181</v>
      </c>
      <c r="E285" s="99">
        <f t="shared" si="14"/>
        <v>1</v>
      </c>
      <c r="F285" s="99">
        <f t="shared" si="9"/>
        <v>-3564000</v>
      </c>
      <c r="G285" s="99"/>
      <c r="K285" t="s">
        <v>25</v>
      </c>
    </row>
    <row r="286" spans="1:11">
      <c r="A286" s="99" t="s">
        <v>4945</v>
      </c>
      <c r="B286" s="113">
        <v>940000</v>
      </c>
      <c r="C286" s="99">
        <v>0</v>
      </c>
      <c r="D286" s="99">
        <f t="shared" si="13"/>
        <v>180</v>
      </c>
      <c r="E286" s="99">
        <f t="shared" si="14"/>
        <v>0</v>
      </c>
      <c r="F286" s="99">
        <f t="shared" si="9"/>
        <v>169200000</v>
      </c>
      <c r="G286" s="99"/>
    </row>
    <row r="287" spans="1:11">
      <c r="A287" s="99" t="s">
        <v>4945</v>
      </c>
      <c r="B287" s="113">
        <v>-201000</v>
      </c>
      <c r="C287" s="99">
        <v>1</v>
      </c>
      <c r="D287" s="99">
        <f t="shared" si="13"/>
        <v>180</v>
      </c>
      <c r="E287" s="99">
        <f t="shared" si="14"/>
        <v>0</v>
      </c>
      <c r="F287" s="99">
        <f t="shared" si="9"/>
        <v>-36180000</v>
      </c>
      <c r="G287" s="99"/>
    </row>
    <row r="288" spans="1:11">
      <c r="A288" s="99" t="s">
        <v>4950</v>
      </c>
      <c r="B288" s="113">
        <v>-320930</v>
      </c>
      <c r="C288" s="99">
        <v>3</v>
      </c>
      <c r="D288" s="99">
        <f t="shared" si="13"/>
        <v>179</v>
      </c>
      <c r="E288" s="99">
        <f t="shared" si="14"/>
        <v>0</v>
      </c>
      <c r="F288" s="99">
        <f t="shared" si="9"/>
        <v>-57446470</v>
      </c>
      <c r="G288" s="99"/>
    </row>
    <row r="289" spans="1:10">
      <c r="A289" s="99" t="s">
        <v>4951</v>
      </c>
      <c r="B289" s="113">
        <v>-400000</v>
      </c>
      <c r="C289" s="99">
        <v>1</v>
      </c>
      <c r="D289" s="99">
        <f t="shared" ref="D289:D306" si="15">D290+C289</f>
        <v>176</v>
      </c>
      <c r="E289" s="99">
        <f t="shared" ref="E289:E306" si="16">IF(B290&gt;0,1,0)</f>
        <v>0</v>
      </c>
      <c r="F289" s="99">
        <f t="shared" si="9"/>
        <v>-70400000</v>
      </c>
      <c r="G289" s="99"/>
    </row>
    <row r="290" spans="1:10">
      <c r="A290" s="99" t="s">
        <v>4958</v>
      </c>
      <c r="B290" s="113">
        <v>-16500</v>
      </c>
      <c r="C290" s="99">
        <v>11</v>
      </c>
      <c r="D290" s="99">
        <f t="shared" si="15"/>
        <v>175</v>
      </c>
      <c r="E290" s="99">
        <f t="shared" si="16"/>
        <v>1</v>
      </c>
      <c r="F290" s="99">
        <f t="shared" si="9"/>
        <v>-2871000</v>
      </c>
      <c r="G290" s="99"/>
    </row>
    <row r="291" spans="1:10">
      <c r="A291" s="99" t="s">
        <v>4980</v>
      </c>
      <c r="B291" s="113">
        <v>2600000</v>
      </c>
      <c r="C291" s="99">
        <v>2</v>
      </c>
      <c r="D291" s="99">
        <f t="shared" si="15"/>
        <v>164</v>
      </c>
      <c r="E291" s="99">
        <f t="shared" si="16"/>
        <v>0</v>
      </c>
      <c r="F291" s="99">
        <f t="shared" si="9"/>
        <v>426400000</v>
      </c>
      <c r="G291" s="99"/>
      <c r="I291" t="s">
        <v>25</v>
      </c>
    </row>
    <row r="292" spans="1:10">
      <c r="A292" s="99" t="s">
        <v>4981</v>
      </c>
      <c r="B292" s="113">
        <v>-1170000</v>
      </c>
      <c r="C292" s="99">
        <v>0</v>
      </c>
      <c r="D292" s="99">
        <f t="shared" si="15"/>
        <v>162</v>
      </c>
      <c r="E292" s="99">
        <f t="shared" si="16"/>
        <v>0</v>
      </c>
      <c r="F292" s="99">
        <f t="shared" si="9"/>
        <v>-189540000</v>
      </c>
      <c r="G292" s="99" t="s">
        <v>4982</v>
      </c>
      <c r="J292" t="s">
        <v>25</v>
      </c>
    </row>
    <row r="293" spans="1:10">
      <c r="A293" s="99" t="s">
        <v>4981</v>
      </c>
      <c r="B293" s="113">
        <v>-9000</v>
      </c>
      <c r="C293" s="99">
        <v>1</v>
      </c>
      <c r="D293" s="99">
        <f t="shared" si="15"/>
        <v>162</v>
      </c>
      <c r="E293" s="99">
        <f t="shared" si="16"/>
        <v>0</v>
      </c>
      <c r="F293" s="99">
        <f t="shared" si="9"/>
        <v>-1458000</v>
      </c>
      <c r="G293" s="99"/>
    </row>
    <row r="294" spans="1:10">
      <c r="A294" s="99" t="s">
        <v>4983</v>
      </c>
      <c r="B294" s="113">
        <v>-1145000</v>
      </c>
      <c r="C294" s="99">
        <v>0</v>
      </c>
      <c r="D294" s="99">
        <f t="shared" si="15"/>
        <v>161</v>
      </c>
      <c r="E294" s="99">
        <f t="shared" si="16"/>
        <v>0</v>
      </c>
      <c r="F294" s="99">
        <f t="shared" si="9"/>
        <v>-184345000</v>
      </c>
      <c r="G294" s="99" t="s">
        <v>4984</v>
      </c>
    </row>
    <row r="295" spans="1:10">
      <c r="A295" s="99" t="s">
        <v>4983</v>
      </c>
      <c r="B295" s="113">
        <v>-94549</v>
      </c>
      <c r="C295" s="99">
        <v>2</v>
      </c>
      <c r="D295" s="99">
        <f t="shared" si="15"/>
        <v>161</v>
      </c>
      <c r="E295" s="99">
        <f t="shared" si="16"/>
        <v>0</v>
      </c>
      <c r="F295" s="99">
        <f t="shared" si="9"/>
        <v>-15222389</v>
      </c>
      <c r="G295" s="99" t="s">
        <v>506</v>
      </c>
      <c r="J295" t="s">
        <v>25</v>
      </c>
    </row>
    <row r="296" spans="1:10">
      <c r="A296" s="99" t="s">
        <v>5182</v>
      </c>
      <c r="B296" s="113">
        <v>-3500</v>
      </c>
      <c r="C296" s="99">
        <v>1</v>
      </c>
      <c r="D296" s="99">
        <f t="shared" si="15"/>
        <v>159</v>
      </c>
      <c r="E296" s="99">
        <f t="shared" si="16"/>
        <v>0</v>
      </c>
      <c r="F296" s="99">
        <f t="shared" si="9"/>
        <v>-556500</v>
      </c>
      <c r="G296" s="99"/>
      <c r="I296" s="114">
        <f>B359-735892</f>
        <v>228657</v>
      </c>
    </row>
    <row r="297" spans="1:10">
      <c r="A297" s="99" t="s">
        <v>4992</v>
      </c>
      <c r="B297" s="113">
        <v>-44900</v>
      </c>
      <c r="C297" s="99">
        <v>0</v>
      </c>
      <c r="D297" s="99">
        <f t="shared" si="15"/>
        <v>158</v>
      </c>
      <c r="E297" s="99">
        <f t="shared" si="16"/>
        <v>0</v>
      </c>
      <c r="F297" s="99">
        <f t="shared" si="9"/>
        <v>-7094200</v>
      </c>
      <c r="G297" s="99"/>
    </row>
    <row r="298" spans="1:10">
      <c r="A298" s="99" t="s">
        <v>4992</v>
      </c>
      <c r="B298" s="113">
        <v>-50000</v>
      </c>
      <c r="C298" s="99">
        <v>10</v>
      </c>
      <c r="D298" s="99">
        <f t="shared" si="15"/>
        <v>158</v>
      </c>
      <c r="E298" s="99">
        <f t="shared" si="16"/>
        <v>0</v>
      </c>
      <c r="F298" s="99">
        <f t="shared" si="9"/>
        <v>-7900000</v>
      </c>
      <c r="G298" s="99" t="s">
        <v>506</v>
      </c>
    </row>
    <row r="299" spans="1:10">
      <c r="A299" s="99" t="s">
        <v>5012</v>
      </c>
      <c r="B299" s="113">
        <v>-19850</v>
      </c>
      <c r="C299" s="99">
        <v>1</v>
      </c>
      <c r="D299" s="99">
        <f t="shared" si="15"/>
        <v>148</v>
      </c>
      <c r="E299" s="99">
        <f t="shared" si="16"/>
        <v>0</v>
      </c>
      <c r="F299" s="99">
        <f t="shared" si="9"/>
        <v>-2937800</v>
      </c>
      <c r="G299" s="99"/>
    </row>
    <row r="300" spans="1:10">
      <c r="A300" s="99" t="s">
        <v>5013</v>
      </c>
      <c r="B300" s="113">
        <v>-39770</v>
      </c>
      <c r="C300" s="99">
        <v>6</v>
      </c>
      <c r="D300" s="99">
        <f t="shared" si="15"/>
        <v>147</v>
      </c>
      <c r="E300" s="99">
        <f t="shared" si="16"/>
        <v>0</v>
      </c>
      <c r="F300" s="99">
        <f t="shared" si="9"/>
        <v>-5846190</v>
      </c>
      <c r="G300" s="99"/>
    </row>
    <row r="301" spans="1:10">
      <c r="A301" s="99" t="s">
        <v>5037</v>
      </c>
      <c r="B301" s="113">
        <v>-40000</v>
      </c>
      <c r="C301" s="99">
        <v>71</v>
      </c>
      <c r="D301" s="99">
        <f t="shared" si="15"/>
        <v>141</v>
      </c>
      <c r="E301" s="99">
        <f t="shared" si="16"/>
        <v>1</v>
      </c>
      <c r="F301" s="99">
        <f t="shared" si="9"/>
        <v>-5600000</v>
      </c>
      <c r="G301" s="99"/>
    </row>
    <row r="302" spans="1:10">
      <c r="A302" s="99" t="s">
        <v>5167</v>
      </c>
      <c r="B302" s="113">
        <v>4000000</v>
      </c>
      <c r="C302" s="99">
        <v>1</v>
      </c>
      <c r="D302" s="99">
        <f t="shared" si="15"/>
        <v>70</v>
      </c>
      <c r="E302" s="99">
        <f t="shared" si="16"/>
        <v>0</v>
      </c>
      <c r="F302" s="99">
        <f t="shared" si="9"/>
        <v>280000000</v>
      </c>
      <c r="G302" s="99"/>
    </row>
    <row r="303" spans="1:10">
      <c r="A303" s="99" t="s">
        <v>5172</v>
      </c>
      <c r="B303" s="113">
        <v>-123860</v>
      </c>
      <c r="C303" s="99">
        <v>1</v>
      </c>
      <c r="D303" s="99">
        <f t="shared" si="15"/>
        <v>69</v>
      </c>
      <c r="E303" s="99">
        <f t="shared" si="16"/>
        <v>0</v>
      </c>
      <c r="F303" s="99">
        <f t="shared" si="9"/>
        <v>-8546340</v>
      </c>
      <c r="G303" s="99"/>
    </row>
    <row r="304" spans="1:10">
      <c r="A304" s="99" t="s">
        <v>5129</v>
      </c>
      <c r="B304" s="113">
        <v>-1660000</v>
      </c>
      <c r="C304" s="99">
        <v>1</v>
      </c>
      <c r="D304" s="99">
        <f t="shared" si="15"/>
        <v>68</v>
      </c>
      <c r="E304" s="99">
        <f t="shared" si="16"/>
        <v>0</v>
      </c>
      <c r="F304" s="99">
        <f t="shared" si="9"/>
        <v>-112880000</v>
      </c>
      <c r="G304" s="99"/>
    </row>
    <row r="305" spans="1:11">
      <c r="A305" s="99" t="s">
        <v>5180</v>
      </c>
      <c r="B305" s="113">
        <v>-63857</v>
      </c>
      <c r="C305" s="99">
        <v>0</v>
      </c>
      <c r="D305" s="99">
        <f t="shared" si="15"/>
        <v>67</v>
      </c>
      <c r="E305" s="99">
        <f t="shared" si="16"/>
        <v>0</v>
      </c>
      <c r="F305" s="99">
        <f t="shared" si="9"/>
        <v>-4278419</v>
      </c>
      <c r="G305" s="99"/>
    </row>
    <row r="306" spans="1:11">
      <c r="A306" s="99" t="s">
        <v>5183</v>
      </c>
      <c r="B306" s="113">
        <v>-631</v>
      </c>
      <c r="C306" s="99">
        <v>2</v>
      </c>
      <c r="D306" s="99">
        <f t="shared" si="15"/>
        <v>67</v>
      </c>
      <c r="E306" s="99">
        <f t="shared" si="16"/>
        <v>0</v>
      </c>
      <c r="F306" s="99">
        <f t="shared" si="9"/>
        <v>-42277</v>
      </c>
      <c r="G306" s="99" t="s">
        <v>506</v>
      </c>
      <c r="J306" t="s">
        <v>25</v>
      </c>
    </row>
    <row r="307" spans="1:11">
      <c r="A307" s="99" t="s">
        <v>5188</v>
      </c>
      <c r="B307" s="113">
        <v>-248905</v>
      </c>
      <c r="C307" s="99">
        <v>2</v>
      </c>
      <c r="D307" s="99">
        <f t="shared" ref="D307:D318" si="17">D308+C307</f>
        <v>65</v>
      </c>
      <c r="E307" s="99">
        <f t="shared" ref="E307:E318" si="18">IF(B308&gt;0,1,0)</f>
        <v>0</v>
      </c>
      <c r="F307" s="99">
        <f t="shared" si="9"/>
        <v>-16178825</v>
      </c>
      <c r="G307" s="99"/>
    </row>
    <row r="308" spans="1:11">
      <c r="A308" s="99" t="s">
        <v>5186</v>
      </c>
      <c r="B308" s="113">
        <v>-200000</v>
      </c>
      <c r="C308" s="99">
        <v>0</v>
      </c>
      <c r="D308" s="99">
        <f t="shared" si="17"/>
        <v>63</v>
      </c>
      <c r="E308" s="99">
        <f t="shared" si="18"/>
        <v>0</v>
      </c>
      <c r="F308" s="99">
        <f t="shared" si="9"/>
        <v>-12600000</v>
      </c>
      <c r="G308" s="99"/>
    </row>
    <row r="309" spans="1:11">
      <c r="A309" s="99" t="s">
        <v>5186</v>
      </c>
      <c r="B309" s="113">
        <v>-200000</v>
      </c>
      <c r="C309" s="99">
        <v>3</v>
      </c>
      <c r="D309" s="99">
        <f t="shared" si="17"/>
        <v>63</v>
      </c>
      <c r="E309" s="99">
        <f t="shared" si="18"/>
        <v>0</v>
      </c>
      <c r="F309" s="99">
        <f t="shared" si="9"/>
        <v>-12600000</v>
      </c>
      <c r="G309" s="99"/>
    </row>
    <row r="310" spans="1:11">
      <c r="A310" s="99" t="s">
        <v>5195</v>
      </c>
      <c r="B310" s="113">
        <v>-832590</v>
      </c>
      <c r="C310" s="99">
        <v>0</v>
      </c>
      <c r="D310" s="99">
        <f t="shared" si="17"/>
        <v>60</v>
      </c>
      <c r="E310" s="99">
        <f t="shared" si="18"/>
        <v>0</v>
      </c>
      <c r="F310" s="99">
        <f t="shared" si="9"/>
        <v>-49955400</v>
      </c>
      <c r="G310" s="99"/>
    </row>
    <row r="311" spans="1:11">
      <c r="A311" s="99" t="s">
        <v>5195</v>
      </c>
      <c r="B311" s="113">
        <v>-29950</v>
      </c>
      <c r="C311" s="99">
        <v>1</v>
      </c>
      <c r="D311" s="99">
        <f t="shared" si="17"/>
        <v>60</v>
      </c>
      <c r="E311" s="99">
        <f t="shared" si="18"/>
        <v>0</v>
      </c>
      <c r="F311" s="99">
        <f t="shared" si="9"/>
        <v>-1797000</v>
      </c>
      <c r="G311" s="99"/>
      <c r="K311" t="s">
        <v>25</v>
      </c>
    </row>
    <row r="312" spans="1:11">
      <c r="A312" s="99" t="s">
        <v>5253</v>
      </c>
      <c r="B312" s="113">
        <v>-8500</v>
      </c>
      <c r="C312" s="99">
        <v>1</v>
      </c>
      <c r="D312" s="99">
        <f t="shared" si="17"/>
        <v>59</v>
      </c>
      <c r="E312" s="99">
        <f t="shared" si="18"/>
        <v>0</v>
      </c>
      <c r="F312" s="99">
        <f t="shared" si="9"/>
        <v>-501500</v>
      </c>
      <c r="G312" s="99"/>
    </row>
    <row r="313" spans="1:11">
      <c r="A313" s="99" t="s">
        <v>5217</v>
      </c>
      <c r="B313" s="113">
        <v>-116300</v>
      </c>
      <c r="C313" s="99">
        <v>1</v>
      </c>
      <c r="D313" s="99">
        <f t="shared" si="17"/>
        <v>58</v>
      </c>
      <c r="E313" s="99">
        <f t="shared" si="18"/>
        <v>0</v>
      </c>
      <c r="F313" s="99">
        <f t="shared" si="9"/>
        <v>-6745400</v>
      </c>
      <c r="G313" s="99"/>
    </row>
    <row r="314" spans="1:11">
      <c r="A314" s="99" t="s">
        <v>5200</v>
      </c>
      <c r="B314" s="113">
        <v>-75500</v>
      </c>
      <c r="C314" s="99">
        <v>1</v>
      </c>
      <c r="D314" s="99">
        <f t="shared" si="17"/>
        <v>57</v>
      </c>
      <c r="E314" s="99">
        <f t="shared" si="18"/>
        <v>0</v>
      </c>
      <c r="F314" s="99">
        <f t="shared" ref="F314:F331" si="19">B314*(D314-E314)</f>
        <v>-4303500</v>
      </c>
      <c r="G314" s="99"/>
    </row>
    <row r="315" spans="1:11">
      <c r="A315" s="99" t="s">
        <v>5211</v>
      </c>
      <c r="B315" s="113">
        <v>-331250</v>
      </c>
      <c r="C315" s="99">
        <v>2</v>
      </c>
      <c r="D315" s="99">
        <f t="shared" si="17"/>
        <v>56</v>
      </c>
      <c r="E315" s="99">
        <f t="shared" si="18"/>
        <v>0</v>
      </c>
      <c r="F315" s="99">
        <f t="shared" si="19"/>
        <v>-18550000</v>
      </c>
      <c r="G315" s="99"/>
    </row>
    <row r="316" spans="1:11">
      <c r="A316" s="99" t="s">
        <v>5254</v>
      </c>
      <c r="B316" s="113">
        <v>-39000</v>
      </c>
      <c r="C316" s="99">
        <v>1</v>
      </c>
      <c r="D316" s="99">
        <f t="shared" si="17"/>
        <v>54</v>
      </c>
      <c r="E316" s="99">
        <f t="shared" si="18"/>
        <v>0</v>
      </c>
      <c r="F316" s="99">
        <f t="shared" si="19"/>
        <v>-2106000</v>
      </c>
      <c r="G316" s="99"/>
      <c r="I316" s="114"/>
    </row>
    <row r="317" spans="1:11">
      <c r="A317" s="99" t="s">
        <v>5213</v>
      </c>
      <c r="B317" s="113">
        <v>-44000</v>
      </c>
      <c r="C317" s="99">
        <v>3</v>
      </c>
      <c r="D317" s="99">
        <f t="shared" si="17"/>
        <v>53</v>
      </c>
      <c r="E317" s="99">
        <f t="shared" si="18"/>
        <v>0</v>
      </c>
      <c r="F317" s="99">
        <f t="shared" si="19"/>
        <v>-2332000</v>
      </c>
      <c r="G317" s="99"/>
      <c r="J317" t="s">
        <v>25</v>
      </c>
    </row>
    <row r="318" spans="1:11">
      <c r="A318" s="99" t="s">
        <v>5147</v>
      </c>
      <c r="B318" s="113">
        <v>-30476</v>
      </c>
      <c r="C318" s="99">
        <v>1</v>
      </c>
      <c r="D318" s="99">
        <f t="shared" si="17"/>
        <v>50</v>
      </c>
      <c r="E318" s="99">
        <f t="shared" si="18"/>
        <v>0</v>
      </c>
      <c r="F318" s="99">
        <f t="shared" si="19"/>
        <v>-1523800</v>
      </c>
      <c r="G318" s="99"/>
    </row>
    <row r="319" spans="1:11">
      <c r="A319" s="99" t="s">
        <v>5222</v>
      </c>
      <c r="B319" s="113">
        <v>-4000</v>
      </c>
      <c r="C319" s="99">
        <v>11</v>
      </c>
      <c r="D319" s="99">
        <f t="shared" ref="D319:D326" si="20">D320+C319</f>
        <v>49</v>
      </c>
      <c r="E319" s="99">
        <f t="shared" ref="E319:E326" si="21">IF(B320&gt;0,1,0)</f>
        <v>1</v>
      </c>
      <c r="F319" s="99">
        <f t="shared" si="19"/>
        <v>-192000</v>
      </c>
      <c r="G319" s="99"/>
    </row>
    <row r="320" spans="1:11">
      <c r="A320" s="99" t="s">
        <v>5255</v>
      </c>
      <c r="B320" s="113">
        <v>6300000</v>
      </c>
      <c r="C320" s="99">
        <v>1</v>
      </c>
      <c r="D320" s="99">
        <f t="shared" si="20"/>
        <v>38</v>
      </c>
      <c r="E320" s="99">
        <f t="shared" si="21"/>
        <v>0</v>
      </c>
      <c r="F320" s="99">
        <f t="shared" si="19"/>
        <v>239400000</v>
      </c>
      <c r="G320" s="99"/>
    </row>
    <row r="321" spans="1:9">
      <c r="A321" s="99" t="s">
        <v>5284</v>
      </c>
      <c r="B321" s="113">
        <v>-6000000</v>
      </c>
      <c r="C321" s="99">
        <v>2</v>
      </c>
      <c r="D321" s="99">
        <f t="shared" si="20"/>
        <v>37</v>
      </c>
      <c r="E321" s="99">
        <f t="shared" si="21"/>
        <v>0</v>
      </c>
      <c r="F321" s="99">
        <f t="shared" si="19"/>
        <v>-222000000</v>
      </c>
      <c r="G321" s="99"/>
    </row>
    <row r="322" spans="1:9">
      <c r="A322" s="99" t="s">
        <v>5280</v>
      </c>
      <c r="B322" s="113">
        <v>-295000</v>
      </c>
      <c r="C322" s="99">
        <v>0</v>
      </c>
      <c r="D322" s="99">
        <f t="shared" si="20"/>
        <v>35</v>
      </c>
      <c r="E322" s="99">
        <f t="shared" si="21"/>
        <v>1</v>
      </c>
      <c r="F322" s="99">
        <f t="shared" si="19"/>
        <v>-10030000</v>
      </c>
      <c r="G322" s="99"/>
    </row>
    <row r="323" spans="1:9">
      <c r="A323" s="99" t="s">
        <v>5280</v>
      </c>
      <c r="B323" s="113">
        <v>483</v>
      </c>
      <c r="C323" s="99">
        <v>8</v>
      </c>
      <c r="D323" s="99">
        <f t="shared" si="20"/>
        <v>35</v>
      </c>
      <c r="E323" s="99">
        <f t="shared" si="21"/>
        <v>1</v>
      </c>
      <c r="F323" s="99">
        <f t="shared" si="19"/>
        <v>16422</v>
      </c>
      <c r="G323" s="99" t="s">
        <v>694</v>
      </c>
      <c r="I323" t="s">
        <v>25</v>
      </c>
    </row>
    <row r="324" spans="1:9">
      <c r="A324" s="99" t="s">
        <v>5311</v>
      </c>
      <c r="B324" s="113">
        <v>1700000</v>
      </c>
      <c r="C324" s="99">
        <v>0</v>
      </c>
      <c r="D324" s="99">
        <f t="shared" si="20"/>
        <v>27</v>
      </c>
      <c r="E324" s="99">
        <f t="shared" si="21"/>
        <v>0</v>
      </c>
      <c r="F324" s="99">
        <f t="shared" si="19"/>
        <v>45900000</v>
      </c>
      <c r="G324" s="99"/>
    </row>
    <row r="325" spans="1:9">
      <c r="A325" s="99" t="s">
        <v>5311</v>
      </c>
      <c r="B325" s="113">
        <v>-53000</v>
      </c>
      <c r="C325" s="99">
        <v>1</v>
      </c>
      <c r="D325" s="99">
        <f t="shared" si="20"/>
        <v>27</v>
      </c>
      <c r="E325" s="99">
        <f t="shared" si="21"/>
        <v>0</v>
      </c>
      <c r="F325" s="99">
        <f t="shared" si="19"/>
        <v>-1431000</v>
      </c>
      <c r="G325" s="99"/>
    </row>
    <row r="326" spans="1:9">
      <c r="A326" s="99" t="s">
        <v>5312</v>
      </c>
      <c r="B326" s="113">
        <v>-1300000</v>
      </c>
      <c r="C326" s="99">
        <v>0</v>
      </c>
      <c r="D326" s="99">
        <f t="shared" si="20"/>
        <v>26</v>
      </c>
      <c r="E326" s="99">
        <f t="shared" si="21"/>
        <v>0</v>
      </c>
      <c r="F326" s="99">
        <f t="shared" si="19"/>
        <v>-33800000</v>
      </c>
      <c r="G326" s="99"/>
      <c r="I326" t="s">
        <v>25</v>
      </c>
    </row>
    <row r="327" spans="1:9">
      <c r="A327" s="99" t="s">
        <v>5312</v>
      </c>
      <c r="B327" s="113">
        <v>-41500</v>
      </c>
      <c r="C327" s="99">
        <v>1</v>
      </c>
      <c r="D327" s="99">
        <f t="shared" ref="D327:D331" si="22">D328+C327</f>
        <v>26</v>
      </c>
      <c r="E327" s="99">
        <f t="shared" ref="E327:E331" si="23">IF(B328&gt;0,1,0)</f>
        <v>0</v>
      </c>
      <c r="F327" s="99">
        <f t="shared" si="19"/>
        <v>-1079000</v>
      </c>
      <c r="G327" s="99"/>
    </row>
    <row r="328" spans="1:9">
      <c r="A328" s="99" t="s">
        <v>5318</v>
      </c>
      <c r="B328" s="113">
        <v>-57700</v>
      </c>
      <c r="C328" s="99">
        <v>3</v>
      </c>
      <c r="D328" s="99">
        <f t="shared" si="22"/>
        <v>25</v>
      </c>
      <c r="E328" s="99">
        <f t="shared" si="23"/>
        <v>0</v>
      </c>
      <c r="F328" s="99">
        <f t="shared" si="19"/>
        <v>-1442500</v>
      </c>
      <c r="G328" s="99"/>
    </row>
    <row r="329" spans="1:9">
      <c r="A329" s="99" t="s">
        <v>5321</v>
      </c>
      <c r="B329" s="113">
        <v>-5600</v>
      </c>
      <c r="C329" s="99">
        <v>1</v>
      </c>
      <c r="D329" s="99">
        <f t="shared" si="22"/>
        <v>22</v>
      </c>
      <c r="E329" s="99">
        <f t="shared" si="23"/>
        <v>0</v>
      </c>
      <c r="F329" s="99">
        <f t="shared" si="19"/>
        <v>-123200</v>
      </c>
      <c r="G329" s="99"/>
    </row>
    <row r="330" spans="1:9">
      <c r="A330" s="99" t="s">
        <v>5323</v>
      </c>
      <c r="B330" s="113">
        <v>-5600</v>
      </c>
      <c r="C330" s="99">
        <v>1</v>
      </c>
      <c r="D330" s="99">
        <f t="shared" si="22"/>
        <v>21</v>
      </c>
      <c r="E330" s="99">
        <f t="shared" si="23"/>
        <v>0</v>
      </c>
      <c r="F330" s="99">
        <f t="shared" si="19"/>
        <v>-117600</v>
      </c>
      <c r="G330" s="99"/>
    </row>
    <row r="331" spans="1:9">
      <c r="A331" s="99" t="s">
        <v>990</v>
      </c>
      <c r="B331" s="113">
        <v>-68100</v>
      </c>
      <c r="C331" s="99">
        <v>1</v>
      </c>
      <c r="D331" s="99">
        <f t="shared" si="22"/>
        <v>20</v>
      </c>
      <c r="E331" s="99">
        <f t="shared" si="23"/>
        <v>0</v>
      </c>
      <c r="F331" s="99">
        <f t="shared" si="19"/>
        <v>-1362000</v>
      </c>
      <c r="G331" s="99"/>
      <c r="I331" t="s">
        <v>25</v>
      </c>
    </row>
    <row r="332" spans="1:9">
      <c r="A332" s="99" t="s">
        <v>4272</v>
      </c>
      <c r="B332" s="113">
        <v>-25390</v>
      </c>
      <c r="C332" s="99">
        <v>2</v>
      </c>
      <c r="D332" s="99">
        <f t="shared" ref="D332:D333" si="24">D333+C332</f>
        <v>19</v>
      </c>
      <c r="E332" s="99">
        <f t="shared" ref="E332:E333" si="25">IF(B333&gt;0,1,0)</f>
        <v>0</v>
      </c>
      <c r="F332" s="99">
        <f t="shared" ref="F332:F333" si="26">B332*(D332-E332)</f>
        <v>-482410</v>
      </c>
      <c r="G332" s="99"/>
    </row>
    <row r="333" spans="1:9">
      <c r="A333" s="99" t="s">
        <v>5343</v>
      </c>
      <c r="B333" s="113">
        <v>-78508</v>
      </c>
      <c r="C333" s="99">
        <v>2</v>
      </c>
      <c r="D333" s="99">
        <f t="shared" si="24"/>
        <v>17</v>
      </c>
      <c r="E333" s="99">
        <f t="shared" si="25"/>
        <v>0</v>
      </c>
      <c r="F333" s="99">
        <f t="shared" si="26"/>
        <v>-1334636</v>
      </c>
      <c r="G333" s="99"/>
    </row>
    <row r="334" spans="1:9">
      <c r="A334" s="99" t="s">
        <v>5344</v>
      </c>
      <c r="B334" s="113">
        <v>-2000</v>
      </c>
      <c r="C334" s="99">
        <v>4</v>
      </c>
      <c r="D334" s="99">
        <f t="shared" ref="D334:D357" si="27">D335+C334</f>
        <v>15</v>
      </c>
      <c r="E334" s="99">
        <f t="shared" ref="E334:E357" si="28">IF(B335&gt;0,1,0)</f>
        <v>1</v>
      </c>
      <c r="F334" s="99">
        <f t="shared" ref="F334:F357" si="29">B334*(D334-E334)</f>
        <v>-28000</v>
      </c>
      <c r="G334" s="99"/>
    </row>
    <row r="335" spans="1:9">
      <c r="A335" s="99" t="s">
        <v>5352</v>
      </c>
      <c r="B335" s="113">
        <v>2200472</v>
      </c>
      <c r="C335" s="99">
        <v>1</v>
      </c>
      <c r="D335" s="99">
        <f t="shared" si="27"/>
        <v>11</v>
      </c>
      <c r="E335" s="99">
        <f t="shared" si="28"/>
        <v>0</v>
      </c>
      <c r="F335" s="99">
        <f t="shared" si="29"/>
        <v>24205192</v>
      </c>
      <c r="G335" s="99"/>
      <c r="H335" t="s">
        <v>25</v>
      </c>
    </row>
    <row r="336" spans="1:9">
      <c r="A336" s="99" t="s">
        <v>5366</v>
      </c>
      <c r="B336" s="113">
        <v>-28000</v>
      </c>
      <c r="C336" s="99">
        <v>2</v>
      </c>
      <c r="D336" s="99">
        <f t="shared" si="27"/>
        <v>10</v>
      </c>
      <c r="E336" s="99">
        <f t="shared" si="28"/>
        <v>1</v>
      </c>
      <c r="F336" s="99">
        <f t="shared" si="29"/>
        <v>-252000</v>
      </c>
      <c r="G336" s="99"/>
    </row>
    <row r="337" spans="1:13">
      <c r="A337" s="99" t="s">
        <v>5360</v>
      </c>
      <c r="B337" s="113">
        <v>2500000</v>
      </c>
      <c r="C337" s="99">
        <v>0</v>
      </c>
      <c r="D337" s="99">
        <f t="shared" si="27"/>
        <v>8</v>
      </c>
      <c r="E337" s="99">
        <f t="shared" si="28"/>
        <v>0</v>
      </c>
      <c r="F337" s="99">
        <f t="shared" si="29"/>
        <v>20000000</v>
      </c>
      <c r="G337" s="99"/>
    </row>
    <row r="338" spans="1:13">
      <c r="A338" s="99" t="s">
        <v>5360</v>
      </c>
      <c r="B338" s="113">
        <v>-407500</v>
      </c>
      <c r="C338" s="99">
        <v>2</v>
      </c>
      <c r="D338" s="99">
        <f t="shared" si="27"/>
        <v>8</v>
      </c>
      <c r="E338" s="99">
        <f t="shared" si="28"/>
        <v>0</v>
      </c>
      <c r="F338" s="99">
        <f t="shared" si="29"/>
        <v>-3260000</v>
      </c>
      <c r="G338" s="99"/>
    </row>
    <row r="339" spans="1:13">
      <c r="A339" s="99" t="s">
        <v>5367</v>
      </c>
      <c r="B339" s="113">
        <v>-3600</v>
      </c>
      <c r="C339" s="99">
        <v>1</v>
      </c>
      <c r="D339" s="99">
        <f t="shared" si="27"/>
        <v>6</v>
      </c>
      <c r="E339" s="99">
        <f t="shared" si="28"/>
        <v>0</v>
      </c>
      <c r="F339" s="99">
        <f t="shared" si="29"/>
        <v>-21600</v>
      </c>
      <c r="G339" s="99"/>
    </row>
    <row r="340" spans="1:13">
      <c r="A340" s="99" t="s">
        <v>5378</v>
      </c>
      <c r="B340" s="113">
        <v>-170094</v>
      </c>
      <c r="C340" s="99">
        <v>1</v>
      </c>
      <c r="D340" s="99">
        <f t="shared" si="27"/>
        <v>5</v>
      </c>
      <c r="E340" s="99">
        <f t="shared" si="28"/>
        <v>0</v>
      </c>
      <c r="F340" s="99">
        <f t="shared" si="29"/>
        <v>-850470</v>
      </c>
      <c r="G340" s="99"/>
      <c r="J340" t="s">
        <v>25</v>
      </c>
    </row>
    <row r="341" spans="1:13">
      <c r="A341" s="99" t="s">
        <v>5369</v>
      </c>
      <c r="B341" s="113">
        <v>-51730</v>
      </c>
      <c r="C341" s="99">
        <v>1</v>
      </c>
      <c r="D341" s="99">
        <f t="shared" si="27"/>
        <v>4</v>
      </c>
      <c r="E341" s="99">
        <f t="shared" si="28"/>
        <v>0</v>
      </c>
      <c r="F341" s="99">
        <f t="shared" si="29"/>
        <v>-206920</v>
      </c>
      <c r="G341" s="99"/>
    </row>
    <row r="342" spans="1:13">
      <c r="A342" s="99" t="s">
        <v>5379</v>
      </c>
      <c r="B342" s="113">
        <v>-200000</v>
      </c>
      <c r="C342" s="99">
        <v>2</v>
      </c>
      <c r="D342" s="99">
        <f t="shared" si="27"/>
        <v>3</v>
      </c>
      <c r="E342" s="99">
        <f t="shared" si="28"/>
        <v>0</v>
      </c>
      <c r="F342" s="99">
        <f t="shared" si="29"/>
        <v>-600000</v>
      </c>
      <c r="G342" s="99"/>
    </row>
    <row r="343" spans="1:13">
      <c r="A343" s="99" t="s">
        <v>5310</v>
      </c>
      <c r="B343" s="113">
        <v>-3000000</v>
      </c>
      <c r="C343" s="99">
        <v>1</v>
      </c>
      <c r="D343" s="99">
        <f t="shared" si="27"/>
        <v>1</v>
      </c>
      <c r="E343" s="99">
        <f t="shared" si="28"/>
        <v>0</v>
      </c>
      <c r="F343" s="99">
        <f t="shared" si="29"/>
        <v>-3000000</v>
      </c>
      <c r="G343" s="99"/>
    </row>
    <row r="344" spans="1:13">
      <c r="A344" s="99"/>
      <c r="B344" s="113"/>
      <c r="C344" s="99"/>
      <c r="D344" s="99">
        <f t="shared" si="27"/>
        <v>0</v>
      </c>
      <c r="E344" s="99">
        <f t="shared" si="28"/>
        <v>0</v>
      </c>
      <c r="F344" s="99">
        <f t="shared" si="29"/>
        <v>0</v>
      </c>
      <c r="G344" s="99"/>
      <c r="M344" t="s">
        <v>25</v>
      </c>
    </row>
    <row r="345" spans="1:13">
      <c r="A345" s="99"/>
      <c r="B345" s="113"/>
      <c r="C345" s="99"/>
      <c r="D345" s="99">
        <f t="shared" si="27"/>
        <v>0</v>
      </c>
      <c r="E345" s="99">
        <f t="shared" si="28"/>
        <v>0</v>
      </c>
      <c r="F345" s="99">
        <f t="shared" si="29"/>
        <v>0</v>
      </c>
      <c r="G345" s="99"/>
      <c r="K345" t="s">
        <v>25</v>
      </c>
    </row>
    <row r="346" spans="1:13">
      <c r="A346" s="99"/>
      <c r="B346" s="113"/>
      <c r="C346" s="99"/>
      <c r="D346" s="99">
        <f t="shared" si="27"/>
        <v>0</v>
      </c>
      <c r="E346" s="99">
        <f t="shared" si="28"/>
        <v>0</v>
      </c>
      <c r="F346" s="99">
        <f t="shared" si="29"/>
        <v>0</v>
      </c>
      <c r="G346" s="99"/>
      <c r="J346" t="s">
        <v>25</v>
      </c>
    </row>
    <row r="347" spans="1:13">
      <c r="A347" s="99"/>
      <c r="B347" s="113"/>
      <c r="C347" s="99"/>
      <c r="D347" s="99">
        <f t="shared" si="27"/>
        <v>0</v>
      </c>
      <c r="E347" s="99">
        <f t="shared" si="28"/>
        <v>0</v>
      </c>
      <c r="F347" s="99">
        <f t="shared" si="29"/>
        <v>0</v>
      </c>
      <c r="G347" s="99"/>
    </row>
    <row r="348" spans="1:13">
      <c r="A348" s="99"/>
      <c r="B348" s="113"/>
      <c r="C348" s="99"/>
      <c r="D348" s="99">
        <f t="shared" si="27"/>
        <v>0</v>
      </c>
      <c r="E348" s="99">
        <f t="shared" si="28"/>
        <v>0</v>
      </c>
      <c r="F348" s="99">
        <f t="shared" si="29"/>
        <v>0</v>
      </c>
      <c r="G348" s="99"/>
    </row>
    <row r="349" spans="1:13">
      <c r="A349" s="99"/>
      <c r="B349" s="113"/>
      <c r="C349" s="99"/>
      <c r="D349" s="99">
        <f t="shared" si="27"/>
        <v>0</v>
      </c>
      <c r="E349" s="99">
        <f t="shared" si="28"/>
        <v>0</v>
      </c>
      <c r="F349" s="99">
        <f t="shared" si="29"/>
        <v>0</v>
      </c>
      <c r="G349" s="99"/>
    </row>
    <row r="350" spans="1:13">
      <c r="A350" s="99"/>
      <c r="B350" s="113"/>
      <c r="C350" s="99"/>
      <c r="D350" s="99">
        <f t="shared" si="27"/>
        <v>0</v>
      </c>
      <c r="E350" s="99">
        <f t="shared" si="28"/>
        <v>0</v>
      </c>
      <c r="F350" s="99">
        <f t="shared" si="29"/>
        <v>0</v>
      </c>
      <c r="G350" s="99"/>
    </row>
    <row r="351" spans="1:13">
      <c r="A351" s="99"/>
      <c r="B351" s="113"/>
      <c r="C351" s="99"/>
      <c r="D351" s="99">
        <f t="shared" si="27"/>
        <v>0</v>
      </c>
      <c r="E351" s="99">
        <f t="shared" si="28"/>
        <v>0</v>
      </c>
      <c r="F351" s="99">
        <f t="shared" si="29"/>
        <v>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964549</v>
      </c>
      <c r="C359" s="11"/>
      <c r="D359" s="11"/>
      <c r="E359" s="11"/>
      <c r="F359" s="29">
        <f>SUM(F2:F357)</f>
        <v>18993310140</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15206813.56285028</v>
      </c>
      <c r="G362" s="11"/>
    </row>
    <row r="363" spans="1:7">
      <c r="A363" s="11"/>
      <c r="B363" s="11"/>
      <c r="C363" s="11"/>
      <c r="D363" s="11"/>
      <c r="E363" s="11"/>
      <c r="F363" s="11" t="s">
        <v>286</v>
      </c>
      <c r="G363" s="11"/>
    </row>
    <row r="366" spans="1:7">
      <c r="B366" s="114">
        <f>B359-62399</f>
        <v>902150</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5149</v>
      </c>
      <c r="L33" t="s">
        <v>5150</v>
      </c>
      <c r="M33" t="s">
        <v>5151</v>
      </c>
      <c r="N33" t="s">
        <v>5152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5154</v>
      </c>
      <c r="M34" t="s">
        <v>5155</v>
      </c>
      <c r="N34" t="s">
        <v>5153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4"/>
  <sheetViews>
    <sheetView tabSelected="1" topLeftCell="K201" zoomScale="85" zoomScaleNormal="85" workbookViewId="0">
      <selection activeCell="P221" sqref="P22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5142</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4317266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964549</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306710</v>
      </c>
      <c r="O20" s="99" t="s">
        <v>935</v>
      </c>
      <c r="P20" s="99" t="s">
        <v>3926</v>
      </c>
      <c r="Q20" s="169">
        <v>9268987</v>
      </c>
      <c r="R20" s="168" t="s">
        <v>4167</v>
      </c>
      <c r="S20" s="191">
        <f>S125</f>
        <v>386</v>
      </c>
      <c r="T20" s="168" t="s">
        <v>4300</v>
      </c>
      <c r="U20" s="168">
        <v>192.1</v>
      </c>
      <c r="V20" s="168">
        <f t="shared" ref="V20:V51" si="6">U20*(1+$R$121+$Q$15*S20/36500)</f>
        <v>251.90257205479452</v>
      </c>
      <c r="W20" s="32">
        <f t="shared" ref="W20:W29" si="7">V20*(1+$W$19/100)</f>
        <v>256.94062349589041</v>
      </c>
      <c r="X20" s="32">
        <f t="shared" ref="X20:X29" si="8">V20*(1+$X$19/100)</f>
        <v>261.97867493698629</v>
      </c>
      <c r="Y20" s="115"/>
      <c r="Z20" s="115"/>
      <c r="AH20" s="99">
        <v>1</v>
      </c>
      <c r="AI20" s="113" t="s">
        <v>1105</v>
      </c>
      <c r="AJ20" s="113">
        <v>18000000</v>
      </c>
      <c r="AK20" s="99">
        <v>1</v>
      </c>
      <c r="AL20" s="99">
        <f>AL21+AK20</f>
        <v>573</v>
      </c>
      <c r="AM20" s="113">
        <f>AJ20*AL20</f>
        <v>10314000000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-N36</f>
        <v>781680867.26237774</v>
      </c>
      <c r="M21" s="168" t="s">
        <v>4292</v>
      </c>
      <c r="N21" s="113">
        <f t="shared" ref="N21:N26" si="9">O21*P21</f>
        <v>500002151.40000004</v>
      </c>
      <c r="O21" s="99">
        <v>1638814</v>
      </c>
      <c r="P21" s="185">
        <f>P50</f>
        <v>305.10000000000002</v>
      </c>
      <c r="Q21" s="169">
        <v>1353959</v>
      </c>
      <c r="R21" s="168" t="s">
        <v>4417</v>
      </c>
      <c r="S21" s="198">
        <f>S20-59</f>
        <v>327</v>
      </c>
      <c r="T21" s="19" t="s">
        <v>4460</v>
      </c>
      <c r="U21" s="168">
        <v>192.2</v>
      </c>
      <c r="V21" s="168">
        <f t="shared" si="6"/>
        <v>243.3346783561644</v>
      </c>
      <c r="W21" s="32">
        <f t="shared" si="7"/>
        <v>248.2013719232877</v>
      </c>
      <c r="X21" s="32">
        <f t="shared" si="8"/>
        <v>253.06806549041099</v>
      </c>
      <c r="Y21" s="115"/>
      <c r="Z21" s="115"/>
      <c r="AH21" s="99">
        <v>2</v>
      </c>
      <c r="AI21" s="113" t="s">
        <v>1107</v>
      </c>
      <c r="AJ21" s="113">
        <v>2500000</v>
      </c>
      <c r="AK21" s="99">
        <v>1</v>
      </c>
      <c r="AL21" s="99">
        <f t="shared" ref="AL21:AL63" si="10">AL22+AK21</f>
        <v>572</v>
      </c>
      <c r="AM21" s="113">
        <f t="shared" ref="AM21:AM120" si="11">AJ21*AL21</f>
        <v>1430000000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3573483.5</v>
      </c>
      <c r="O22" s="99">
        <v>655</v>
      </c>
      <c r="P22" s="185">
        <f>P46</f>
        <v>5455.7</v>
      </c>
      <c r="Q22" s="169">
        <v>1614398</v>
      </c>
      <c r="R22" s="168" t="s">
        <v>4423</v>
      </c>
      <c r="S22" s="168">
        <f>S21-3</f>
        <v>324</v>
      </c>
      <c r="T22" s="19" t="s">
        <v>4493</v>
      </c>
      <c r="U22" s="168">
        <v>184.6</v>
      </c>
      <c r="V22" s="168">
        <f t="shared" si="6"/>
        <v>233.28787068493153</v>
      </c>
      <c r="W22" s="32">
        <f t="shared" si="7"/>
        <v>237.95362809863016</v>
      </c>
      <c r="X22" s="32">
        <f t="shared" si="8"/>
        <v>242.61938551232879</v>
      </c>
      <c r="Y22" s="115"/>
      <c r="Z22" s="115"/>
      <c r="AH22" s="99">
        <v>3</v>
      </c>
      <c r="AI22" s="113" t="s">
        <v>1116</v>
      </c>
      <c r="AJ22" s="113">
        <v>8000000</v>
      </c>
      <c r="AK22" s="99">
        <v>1</v>
      </c>
      <c r="AL22" s="99">
        <f t="shared" si="10"/>
        <v>571</v>
      </c>
      <c r="AM22" s="113">
        <f t="shared" si="11"/>
        <v>4568000000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5141500</v>
      </c>
      <c r="O23" s="99">
        <v>791</v>
      </c>
      <c r="P23" s="185">
        <f>P48</f>
        <v>6500</v>
      </c>
      <c r="Q23" s="169">
        <v>133576</v>
      </c>
      <c r="R23" s="168" t="s">
        <v>4500</v>
      </c>
      <c r="S23" s="197">
        <f>S22-22</f>
        <v>302</v>
      </c>
      <c r="T23" s="168" t="s">
        <v>4501</v>
      </c>
      <c r="U23" s="168">
        <v>166.2</v>
      </c>
      <c r="V23" s="168">
        <f t="shared" si="6"/>
        <v>207.22999890410958</v>
      </c>
      <c r="W23" s="32">
        <f t="shared" si="7"/>
        <v>211.37459888219178</v>
      </c>
      <c r="X23" s="32">
        <f t="shared" si="8"/>
        <v>215.51919886027397</v>
      </c>
      <c r="Y23" s="96"/>
      <c r="Z23" s="96"/>
      <c r="AH23" s="99">
        <v>4</v>
      </c>
      <c r="AI23" s="113" t="s">
        <v>4051</v>
      </c>
      <c r="AJ23" s="113">
        <v>-79552</v>
      </c>
      <c r="AK23" s="99">
        <v>1</v>
      </c>
      <c r="AL23" s="99">
        <f t="shared" si="10"/>
        <v>570</v>
      </c>
      <c r="AM23" s="113">
        <f t="shared" si="11"/>
        <v>-45344640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L63</f>
        <v>671069725.86237776</v>
      </c>
      <c r="G24" s="95">
        <f t="shared" si="0"/>
        <v>-390763380.48043913</v>
      </c>
      <c r="H24" s="11"/>
      <c r="I24" s="96"/>
      <c r="J24" s="96"/>
      <c r="K24" s="213"/>
      <c r="L24" s="117"/>
      <c r="M24" s="213" t="s">
        <v>5355</v>
      </c>
      <c r="N24" s="113">
        <f t="shared" si="9"/>
        <v>47678.8</v>
      </c>
      <c r="O24" s="99">
        <v>173</v>
      </c>
      <c r="P24" s="185">
        <f>P49</f>
        <v>275.60000000000002</v>
      </c>
      <c r="Q24" s="169">
        <v>220803</v>
      </c>
      <c r="R24" s="168" t="s">
        <v>4222</v>
      </c>
      <c r="S24" s="197">
        <f>S23-1</f>
        <v>301</v>
      </c>
      <c r="T24" s="168" t="s">
        <v>4507</v>
      </c>
      <c r="U24" s="168">
        <v>166</v>
      </c>
      <c r="V24" s="168">
        <f t="shared" si="6"/>
        <v>206.85328219178086</v>
      </c>
      <c r="W24" s="32">
        <f t="shared" si="7"/>
        <v>210.99034783561649</v>
      </c>
      <c r="X24" s="32">
        <f t="shared" si="8"/>
        <v>215.12741347945212</v>
      </c>
      <c r="Y24" s="96"/>
      <c r="Z24" s="96"/>
      <c r="AH24" s="99">
        <v>5</v>
      </c>
      <c r="AI24" s="113" t="s">
        <v>1128</v>
      </c>
      <c r="AJ24" s="113">
        <v>165500</v>
      </c>
      <c r="AK24" s="99">
        <v>12</v>
      </c>
      <c r="AL24" s="99">
        <f t="shared" si="10"/>
        <v>569</v>
      </c>
      <c r="AM24" s="113">
        <f t="shared" si="11"/>
        <v>94169500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5215</v>
      </c>
      <c r="N25" s="113">
        <f t="shared" si="9"/>
        <v>0</v>
      </c>
      <c r="O25" s="99">
        <v>0</v>
      </c>
      <c r="P25" s="185">
        <f>P51</f>
        <v>3050</v>
      </c>
      <c r="Q25" s="169">
        <v>1023940</v>
      </c>
      <c r="R25" s="168" t="s">
        <v>4508</v>
      </c>
      <c r="S25" s="197">
        <f>S24-2</f>
        <v>299</v>
      </c>
      <c r="T25" s="168" t="s">
        <v>4514</v>
      </c>
      <c r="U25" s="168">
        <v>160.19999999999999</v>
      </c>
      <c r="V25" s="168">
        <f t="shared" si="6"/>
        <v>199.38009205479452</v>
      </c>
      <c r="W25" s="32">
        <f t="shared" si="7"/>
        <v>203.3676938958904</v>
      </c>
      <c r="X25" s="32">
        <f t="shared" si="8"/>
        <v>207.35529573698631</v>
      </c>
      <c r="Y25" s="96"/>
      <c r="Z25" s="96" t="s">
        <v>25</v>
      </c>
      <c r="AH25" s="99">
        <v>6</v>
      </c>
      <c r="AI25" s="113" t="s">
        <v>1153</v>
      </c>
      <c r="AJ25" s="113">
        <v>-28830327</v>
      </c>
      <c r="AK25" s="99">
        <v>6</v>
      </c>
      <c r="AL25" s="99">
        <f t="shared" si="10"/>
        <v>557</v>
      </c>
      <c r="AM25" s="113">
        <f t="shared" si="11"/>
        <v>-16058492139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4458</v>
      </c>
      <c r="L26" s="117">
        <f>-'فروردین 98'!D101</f>
        <v>-28050409</v>
      </c>
      <c r="M26" s="213" t="s">
        <v>4398</v>
      </c>
      <c r="N26" s="113">
        <f t="shared" si="9"/>
        <v>125132784</v>
      </c>
      <c r="O26" s="99">
        <v>156808</v>
      </c>
      <c r="P26" s="185">
        <f>P47</f>
        <v>798</v>
      </c>
      <c r="Q26" s="169">
        <v>168846</v>
      </c>
      <c r="R26" s="168" t="s">
        <v>3688</v>
      </c>
      <c r="S26" s="197">
        <f>S25-28</f>
        <v>271</v>
      </c>
      <c r="T26" s="168" t="s">
        <v>4603</v>
      </c>
      <c r="U26" s="168">
        <v>172.2</v>
      </c>
      <c r="V26" s="168">
        <f t="shared" si="6"/>
        <v>210.6161687671233</v>
      </c>
      <c r="W26" s="32">
        <f t="shared" si="7"/>
        <v>214.82849214246576</v>
      </c>
      <c r="X26" s="32">
        <f t="shared" si="8"/>
        <v>219.04081551780823</v>
      </c>
      <c r="Y26" s="96"/>
      <c r="Z26" s="96"/>
      <c r="AH26" s="99">
        <v>7</v>
      </c>
      <c r="AI26" s="113" t="s">
        <v>1178</v>
      </c>
      <c r="AJ26" s="113">
        <v>18500000</v>
      </c>
      <c r="AK26" s="99">
        <v>1</v>
      </c>
      <c r="AL26" s="99">
        <f t="shared" si="10"/>
        <v>551</v>
      </c>
      <c r="AM26" s="113">
        <f t="shared" si="11"/>
        <v>10193500000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O27" s="69" t="s">
        <v>25</v>
      </c>
      <c r="P27" s="99"/>
      <c r="Q27" s="169">
        <v>350718</v>
      </c>
      <c r="R27" s="213" t="s">
        <v>4672</v>
      </c>
      <c r="S27" s="197">
        <f>S26-17</f>
        <v>254</v>
      </c>
      <c r="T27" s="213" t="s">
        <v>4673</v>
      </c>
      <c r="U27" s="213">
        <v>502.3</v>
      </c>
      <c r="V27" s="213">
        <f t="shared" si="6"/>
        <v>607.80777095890414</v>
      </c>
      <c r="W27" s="32">
        <f t="shared" si="7"/>
        <v>619.96392637808219</v>
      </c>
      <c r="X27" s="32">
        <f t="shared" si="8"/>
        <v>632.12008179726035</v>
      </c>
      <c r="Y27" s="96"/>
      <c r="Z27" s="96"/>
      <c r="AH27" s="99">
        <v>8</v>
      </c>
      <c r="AI27" s="113" t="s">
        <v>1187</v>
      </c>
      <c r="AJ27" s="113">
        <v>-18550000</v>
      </c>
      <c r="AK27" s="99">
        <v>1</v>
      </c>
      <c r="AL27" s="99">
        <f t="shared" si="10"/>
        <v>550</v>
      </c>
      <c r="AM27" s="113">
        <f t="shared" si="11"/>
        <v>-10202500000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456</v>
      </c>
      <c r="L28" s="117">
        <v>250000</v>
      </c>
      <c r="M28" s="189" t="s">
        <v>4445</v>
      </c>
      <c r="N28" s="113">
        <v>126</v>
      </c>
      <c r="O28" s="277"/>
      <c r="P28" s="99" t="s">
        <v>25</v>
      </c>
      <c r="Q28" s="169">
        <v>17953742</v>
      </c>
      <c r="R28" s="213" t="s">
        <v>3681</v>
      </c>
      <c r="S28" s="197">
        <f>S27-15</f>
        <v>239</v>
      </c>
      <c r="T28" s="213" t="s">
        <v>4710</v>
      </c>
      <c r="U28" s="213">
        <v>486.4</v>
      </c>
      <c r="V28" s="213">
        <f t="shared" si="6"/>
        <v>582.97105534246577</v>
      </c>
      <c r="W28" s="32">
        <f t="shared" si="7"/>
        <v>594.6304764493151</v>
      </c>
      <c r="X28" s="32">
        <f t="shared" si="8"/>
        <v>606.28989755616442</v>
      </c>
      <c r="Y28" s="96"/>
      <c r="Z28" s="96"/>
      <c r="AH28" s="99">
        <v>9</v>
      </c>
      <c r="AI28" s="113" t="s">
        <v>1194</v>
      </c>
      <c r="AJ28" s="113">
        <v>-64961</v>
      </c>
      <c r="AK28" s="99">
        <v>5</v>
      </c>
      <c r="AL28" s="99">
        <f t="shared" si="10"/>
        <v>549</v>
      </c>
      <c r="AM28" s="113">
        <f t="shared" si="11"/>
        <v>-35663589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4398</v>
      </c>
      <c r="N29" s="113">
        <f t="shared" ref="N29:N33" si="13">O29*P29</f>
        <v>1602384</v>
      </c>
      <c r="O29" s="69">
        <v>2008</v>
      </c>
      <c r="P29" s="99">
        <f>P47</f>
        <v>798</v>
      </c>
      <c r="Q29" s="169">
        <v>9566181</v>
      </c>
      <c r="R29" s="213" t="s">
        <v>4711</v>
      </c>
      <c r="S29" s="197">
        <f>S28-1</f>
        <v>238</v>
      </c>
      <c r="T29" s="213" t="s">
        <v>4712</v>
      </c>
      <c r="U29" s="213">
        <v>476.1</v>
      </c>
      <c r="V29" s="213">
        <f t="shared" si="6"/>
        <v>570.26084054794535</v>
      </c>
      <c r="W29" s="32">
        <f t="shared" si="7"/>
        <v>581.66605735890425</v>
      </c>
      <c r="X29" s="32">
        <f t="shared" si="8"/>
        <v>593.07127416986316</v>
      </c>
      <c r="Y29" s="96"/>
      <c r="Z29" s="96"/>
      <c r="AH29" s="99">
        <v>10</v>
      </c>
      <c r="AI29" s="113" t="s">
        <v>1210</v>
      </c>
      <c r="AJ29" s="113">
        <v>6400000</v>
      </c>
      <c r="AK29" s="99">
        <v>1</v>
      </c>
      <c r="AL29" s="99">
        <f t="shared" si="10"/>
        <v>544</v>
      </c>
      <c r="AM29" s="113">
        <f t="shared" si="11"/>
        <v>3481600000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4380</v>
      </c>
      <c r="N30" s="113">
        <f t="shared" si="13"/>
        <v>338253.39999999997</v>
      </c>
      <c r="O30" s="69">
        <v>62</v>
      </c>
      <c r="P30" s="99">
        <f>P46</f>
        <v>5455.7</v>
      </c>
      <c r="Q30" s="169">
        <v>1563192</v>
      </c>
      <c r="R30" s="213" t="s">
        <v>4711</v>
      </c>
      <c r="S30" s="197">
        <f>S29</f>
        <v>238</v>
      </c>
      <c r="T30" s="213" t="s">
        <v>4713</v>
      </c>
      <c r="U30" s="213">
        <v>168.8</v>
      </c>
      <c r="V30" s="213">
        <f t="shared" si="6"/>
        <v>202.18447780821921</v>
      </c>
      <c r="W30" s="32">
        <f t="shared" ref="W30:W49" si="14">V30*(1+$W$19/100)</f>
        <v>206.22816736438361</v>
      </c>
      <c r="X30" s="32">
        <f t="shared" ref="X30:X49" si="15">V30*(1+$X$19/100)</f>
        <v>210.27185692054798</v>
      </c>
      <c r="Y30" s="96"/>
      <c r="Z30" s="96"/>
      <c r="AH30" s="99">
        <v>11</v>
      </c>
      <c r="AI30" s="113" t="s">
        <v>4052</v>
      </c>
      <c r="AJ30" s="113">
        <v>-170000</v>
      </c>
      <c r="AK30" s="99">
        <v>5</v>
      </c>
      <c r="AL30" s="99">
        <f t="shared" si="10"/>
        <v>543</v>
      </c>
      <c r="AM30" s="113">
        <f t="shared" si="11"/>
        <v>-92310000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4384</v>
      </c>
      <c r="N31" s="113">
        <f t="shared" si="13"/>
        <v>8196500</v>
      </c>
      <c r="O31" s="69">
        <v>1261</v>
      </c>
      <c r="P31" s="99">
        <f>P48</f>
        <v>6500</v>
      </c>
      <c r="Q31" s="169">
        <v>15499033</v>
      </c>
      <c r="R31" s="213" t="s">
        <v>4729</v>
      </c>
      <c r="S31" s="197">
        <f>S30-6</f>
        <v>232</v>
      </c>
      <c r="T31" s="213" t="s">
        <v>4733</v>
      </c>
      <c r="U31" s="213">
        <v>525.1</v>
      </c>
      <c r="V31" s="213">
        <f t="shared" si="6"/>
        <v>626.53493369863031</v>
      </c>
      <c r="W31" s="32">
        <f t="shared" si="14"/>
        <v>639.06563237260298</v>
      </c>
      <c r="X31" s="32">
        <f t="shared" si="15"/>
        <v>651.59633104657553</v>
      </c>
      <c r="Y31" s="96"/>
      <c r="Z31" s="96"/>
      <c r="AH31" s="99">
        <v>12</v>
      </c>
      <c r="AI31" s="113" t="s">
        <v>1230</v>
      </c>
      <c r="AJ31" s="113">
        <v>-6300000</v>
      </c>
      <c r="AK31" s="99">
        <v>1</v>
      </c>
      <c r="AL31" s="99">
        <f>AL32+AK31</f>
        <v>538</v>
      </c>
      <c r="AM31" s="113">
        <f t="shared" si="11"/>
        <v>-3389400000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5355</v>
      </c>
      <c r="N32" s="113">
        <f t="shared" si="13"/>
        <v>47678.8</v>
      </c>
      <c r="O32" s="69">
        <v>173</v>
      </c>
      <c r="P32" s="99">
        <f>P49</f>
        <v>275.60000000000002</v>
      </c>
      <c r="Q32" s="169">
        <v>30673673</v>
      </c>
      <c r="R32" s="213" t="s">
        <v>4737</v>
      </c>
      <c r="S32" s="197">
        <f>S31-1</f>
        <v>231</v>
      </c>
      <c r="T32" s="213" t="s">
        <v>4742</v>
      </c>
      <c r="U32" s="213">
        <v>529.79999999999995</v>
      </c>
      <c r="V32" s="213">
        <f t="shared" si="6"/>
        <v>631.73642301369864</v>
      </c>
      <c r="W32" s="32">
        <f t="shared" si="14"/>
        <v>644.37115147397265</v>
      </c>
      <c r="X32" s="32">
        <f t="shared" si="15"/>
        <v>657.00587993424665</v>
      </c>
      <c r="Y32" s="96"/>
      <c r="Z32" s="96"/>
      <c r="AH32" s="99">
        <v>13</v>
      </c>
      <c r="AI32" s="113" t="s">
        <v>1239</v>
      </c>
      <c r="AJ32" s="113">
        <v>-52015</v>
      </c>
      <c r="AK32" s="99">
        <v>16</v>
      </c>
      <c r="AL32" s="99">
        <f t="shared" si="10"/>
        <v>537</v>
      </c>
      <c r="AM32" s="113">
        <f t="shared" si="11"/>
        <v>-27932055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4424</v>
      </c>
      <c r="N33" s="113">
        <f t="shared" si="13"/>
        <v>118543859.10000001</v>
      </c>
      <c r="O33" s="69">
        <v>388541</v>
      </c>
      <c r="P33" s="99">
        <f>P50</f>
        <v>305.10000000000002</v>
      </c>
      <c r="Q33" s="169">
        <v>65651</v>
      </c>
      <c r="R33" s="213" t="s">
        <v>4834</v>
      </c>
      <c r="S33" s="197">
        <f>S32-21</f>
        <v>210</v>
      </c>
      <c r="T33" s="213" t="s">
        <v>5162</v>
      </c>
      <c r="U33" s="213">
        <v>587.29999999999995</v>
      </c>
      <c r="V33" s="213">
        <f t="shared" si="6"/>
        <v>690.8385764383562</v>
      </c>
      <c r="W33" s="32">
        <f t="shared" si="14"/>
        <v>704.65534796712336</v>
      </c>
      <c r="X33" s="32">
        <f t="shared" si="15"/>
        <v>718.47211949589052</v>
      </c>
      <c r="Y33" s="96"/>
      <c r="Z33" s="96"/>
      <c r="AH33" s="99">
        <v>14</v>
      </c>
      <c r="AI33" s="113" t="s">
        <v>3705</v>
      </c>
      <c r="AJ33" s="113">
        <v>20017400</v>
      </c>
      <c r="AK33" s="99">
        <v>0</v>
      </c>
      <c r="AL33" s="99">
        <f t="shared" si="10"/>
        <v>521</v>
      </c>
      <c r="AM33" s="113">
        <f t="shared" si="11"/>
        <v>10429065400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c r="N34" s="113"/>
      <c r="P34" t="s">
        <v>25</v>
      </c>
      <c r="Q34" s="169">
        <v>1204691</v>
      </c>
      <c r="R34" s="213" t="s">
        <v>4941</v>
      </c>
      <c r="S34" s="197">
        <f>S33-48</f>
        <v>162</v>
      </c>
      <c r="T34" s="213" t="s">
        <v>4942</v>
      </c>
      <c r="U34" s="213">
        <v>218.5</v>
      </c>
      <c r="V34" s="213">
        <f t="shared" si="6"/>
        <v>248.97506301369867</v>
      </c>
      <c r="W34" s="32">
        <f t="shared" si="14"/>
        <v>253.95456427397266</v>
      </c>
      <c r="X34" s="32">
        <f t="shared" si="15"/>
        <v>258.93406553424666</v>
      </c>
      <c r="Y34" s="96"/>
      <c r="Z34" s="96"/>
      <c r="AH34" s="99">
        <v>15</v>
      </c>
      <c r="AI34" s="113" t="s">
        <v>3705</v>
      </c>
      <c r="AJ34" s="113">
        <v>1014466</v>
      </c>
      <c r="AK34" s="99">
        <v>12</v>
      </c>
      <c r="AL34" s="99">
        <f t="shared" si="10"/>
        <v>521</v>
      </c>
      <c r="AM34" s="113">
        <f t="shared" si="11"/>
        <v>528536786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25</v>
      </c>
      <c r="L35" s="117"/>
      <c r="M35" s="168" t="s">
        <v>755</v>
      </c>
      <c r="N35" s="113">
        <v>3000000</v>
      </c>
      <c r="P35" t="s">
        <v>25</v>
      </c>
      <c r="Q35" s="169">
        <v>15011877</v>
      </c>
      <c r="R35" s="213" t="s">
        <v>4945</v>
      </c>
      <c r="S35" s="197">
        <f>S34-3</f>
        <v>159</v>
      </c>
      <c r="T35" s="213" t="s">
        <v>4949</v>
      </c>
      <c r="U35" s="213">
        <v>197.1</v>
      </c>
      <c r="V35" s="213">
        <f t="shared" si="6"/>
        <v>224.13672000000003</v>
      </c>
      <c r="W35" s="32">
        <f t="shared" si="14"/>
        <v>228.61945440000002</v>
      </c>
      <c r="X35" s="32">
        <f t="shared" si="15"/>
        <v>233.10218880000002</v>
      </c>
      <c r="Y35" s="96" t="s">
        <v>25</v>
      </c>
      <c r="Z35" s="96" t="s">
        <v>25</v>
      </c>
      <c r="AH35" s="99">
        <v>16</v>
      </c>
      <c r="AI35" s="113" t="s">
        <v>1141</v>
      </c>
      <c r="AJ35" s="113">
        <v>360000</v>
      </c>
      <c r="AK35" s="99">
        <v>2</v>
      </c>
      <c r="AL35" s="99">
        <f t="shared" si="10"/>
        <v>509</v>
      </c>
      <c r="AM35" s="113">
        <f t="shared" si="11"/>
        <v>183240000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917</v>
      </c>
      <c r="L36" s="117">
        <v>4800000</v>
      </c>
      <c r="M36" s="168" t="s">
        <v>4146</v>
      </c>
      <c r="N36" s="113">
        <f>-S201</f>
        <v>-781680867.26237774</v>
      </c>
      <c r="O36" s="96" t="s">
        <v>25</v>
      </c>
      <c r="P36" s="96" t="s">
        <v>25</v>
      </c>
      <c r="Q36" s="169">
        <v>12803120</v>
      </c>
      <c r="R36" s="213" t="s">
        <v>4958</v>
      </c>
      <c r="S36" s="197">
        <f>S35-5</f>
        <v>154</v>
      </c>
      <c r="T36" s="213" t="s">
        <v>4960</v>
      </c>
      <c r="U36" s="213">
        <v>194.4</v>
      </c>
      <c r="V36" s="213">
        <f t="shared" si="6"/>
        <v>220.32071013698635</v>
      </c>
      <c r="W36" s="32">
        <f t="shared" si="14"/>
        <v>224.72712433972609</v>
      </c>
      <c r="X36" s="32">
        <f t="shared" si="15"/>
        <v>229.1335385424658</v>
      </c>
      <c r="Y36" s="96" t="s">
        <v>25</v>
      </c>
      <c r="Z36" s="96"/>
      <c r="AH36" s="99">
        <v>17</v>
      </c>
      <c r="AI36" s="113" t="s">
        <v>3765</v>
      </c>
      <c r="AJ36" s="113">
        <v>-350000</v>
      </c>
      <c r="AK36" s="99">
        <v>0</v>
      </c>
      <c r="AL36" s="99">
        <f t="shared" si="10"/>
        <v>507</v>
      </c>
      <c r="AM36" s="113">
        <f t="shared" si="11"/>
        <v>-177450000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752</v>
      </c>
      <c r="N37" s="113">
        <v>500000</v>
      </c>
      <c r="O37" s="96" t="s">
        <v>25</v>
      </c>
      <c r="P37" s="122" t="s">
        <v>25</v>
      </c>
      <c r="Q37" s="169">
        <v>100562</v>
      </c>
      <c r="R37" s="213" t="s">
        <v>4966</v>
      </c>
      <c r="S37" s="197">
        <f>S36-6</f>
        <v>148</v>
      </c>
      <c r="T37" s="213" t="s">
        <v>4967</v>
      </c>
      <c r="U37" s="213">
        <v>190.3</v>
      </c>
      <c r="V37" s="213">
        <f t="shared" si="6"/>
        <v>214.79812712328768</v>
      </c>
      <c r="W37" s="32">
        <f t="shared" si="14"/>
        <v>219.09408966575344</v>
      </c>
      <c r="X37" s="32">
        <f t="shared" si="15"/>
        <v>223.3900522082192</v>
      </c>
      <c r="Y37" s="96" t="s">
        <v>25</v>
      </c>
      <c r="Z37" s="96"/>
      <c r="AH37" s="99">
        <v>18</v>
      </c>
      <c r="AI37" s="113" t="s">
        <v>3765</v>
      </c>
      <c r="AJ37" s="113">
        <v>1000</v>
      </c>
      <c r="AK37" s="99">
        <v>1</v>
      </c>
      <c r="AL37" s="99">
        <f t="shared" si="10"/>
        <v>507</v>
      </c>
      <c r="AM37" s="113">
        <f t="shared" si="11"/>
        <v>507000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1083</v>
      </c>
      <c r="L38" s="117">
        <f>'خرید و فروش سکه فیزیکی'!M48*10*P52</f>
        <v>0</v>
      </c>
      <c r="M38" s="168" t="s">
        <v>759</v>
      </c>
      <c r="N38" s="113">
        <v>1200000</v>
      </c>
      <c r="O38" t="s">
        <v>25</v>
      </c>
      <c r="P38" t="s">
        <v>25</v>
      </c>
      <c r="Q38" s="169">
        <v>198647697</v>
      </c>
      <c r="R38" s="213" t="s">
        <v>4970</v>
      </c>
      <c r="S38" s="197">
        <f>S37-2</f>
        <v>146</v>
      </c>
      <c r="T38" s="213" t="s">
        <v>5014</v>
      </c>
      <c r="U38" s="213">
        <v>195.5</v>
      </c>
      <c r="V38" s="213">
        <f t="shared" si="6"/>
        <v>220.36760000000004</v>
      </c>
      <c r="W38" s="32">
        <f t="shared" si="14"/>
        <v>224.77495200000004</v>
      </c>
      <c r="X38" s="32">
        <f t="shared" si="15"/>
        <v>229.18230400000004</v>
      </c>
      <c r="Y38" s="96" t="s">
        <v>25</v>
      </c>
      <c r="Z38" s="96"/>
      <c r="AH38" s="99">
        <v>19</v>
      </c>
      <c r="AI38" s="113" t="s">
        <v>3769</v>
      </c>
      <c r="AJ38" s="113">
        <v>33610000</v>
      </c>
      <c r="AK38" s="99">
        <v>4</v>
      </c>
      <c r="AL38" s="99">
        <f t="shared" si="10"/>
        <v>506</v>
      </c>
      <c r="AM38" s="113">
        <f t="shared" si="11"/>
        <v>17006660000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t="s">
        <v>5026</v>
      </c>
      <c r="L39" s="117">
        <v>-47500000</v>
      </c>
      <c r="M39" s="73"/>
      <c r="N39" s="113"/>
      <c r="O39" s="96" t="s">
        <v>25</v>
      </c>
      <c r="P39" s="96" t="s">
        <v>25</v>
      </c>
      <c r="Q39" s="169">
        <v>9986627</v>
      </c>
      <c r="R39" s="213" t="s">
        <v>5016</v>
      </c>
      <c r="S39" s="197">
        <f>S38-21</f>
        <v>125</v>
      </c>
      <c r="T39" s="213" t="s">
        <v>5019</v>
      </c>
      <c r="U39" s="213">
        <v>200.2</v>
      </c>
      <c r="V39" s="213">
        <f t="shared" si="6"/>
        <v>222.44030027397261</v>
      </c>
      <c r="W39" s="32">
        <f t="shared" si="14"/>
        <v>226.88910627945208</v>
      </c>
      <c r="X39" s="32">
        <f t="shared" si="15"/>
        <v>231.33791228493152</v>
      </c>
      <c r="Y39" s="96"/>
      <c r="Z39" s="96"/>
      <c r="AA39" s="96"/>
      <c r="AB39" s="96"/>
      <c r="AC39" s="96"/>
      <c r="AD39" s="96"/>
      <c r="AH39" s="99">
        <v>20</v>
      </c>
      <c r="AI39" s="113" t="s">
        <v>4053</v>
      </c>
      <c r="AJ39" s="113">
        <v>-15600000</v>
      </c>
      <c r="AK39" s="99">
        <v>3</v>
      </c>
      <c r="AL39" s="99">
        <f t="shared" si="10"/>
        <v>502</v>
      </c>
      <c r="AM39" s="113">
        <f t="shared" si="11"/>
        <v>-7831200000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c r="N40" s="113"/>
      <c r="O40" s="96"/>
      <c r="P40" s="96" t="s">
        <v>25</v>
      </c>
      <c r="Q40" s="169">
        <v>499908</v>
      </c>
      <c r="R40" s="213" t="s">
        <v>5022</v>
      </c>
      <c r="S40" s="197">
        <f>S39-1</f>
        <v>124</v>
      </c>
      <c r="T40" s="213" t="s">
        <v>5027</v>
      </c>
      <c r="U40" s="213">
        <v>200</v>
      </c>
      <c r="V40" s="213">
        <f t="shared" si="6"/>
        <v>222.06465753424661</v>
      </c>
      <c r="W40" s="32">
        <f t="shared" si="14"/>
        <v>226.50595068493155</v>
      </c>
      <c r="X40" s="32">
        <f t="shared" si="15"/>
        <v>230.94724383561649</v>
      </c>
      <c r="Y40" s="96" t="s">
        <v>25</v>
      </c>
      <c r="Z40" s="96" t="s">
        <v>25</v>
      </c>
      <c r="AA40" s="96"/>
      <c r="AB40" s="96"/>
      <c r="AC40" s="96"/>
      <c r="AD40" s="96"/>
      <c r="AH40" s="99">
        <v>21</v>
      </c>
      <c r="AI40" s="113" t="s">
        <v>3783</v>
      </c>
      <c r="AJ40" s="113">
        <v>7500000</v>
      </c>
      <c r="AK40" s="99">
        <v>4</v>
      </c>
      <c r="AL40" s="99">
        <f t="shared" si="10"/>
        <v>499</v>
      </c>
      <c r="AM40" s="113">
        <f t="shared" si="11"/>
        <v>3742500000</v>
      </c>
      <c r="AN40" s="99"/>
      <c r="AP40" s="96"/>
      <c r="AQ40" s="96"/>
      <c r="AR40" s="96"/>
      <c r="AS40" s="96"/>
      <c r="AV40" s="96"/>
      <c r="AW40" s="96"/>
      <c r="AX40" s="96"/>
      <c r="AY40" s="96"/>
      <c r="AZ40" s="96"/>
      <c r="BA40" s="96"/>
      <c r="BB40" s="96"/>
    </row>
    <row r="41" spans="1:54" ht="16.5">
      <c r="A41" s="62">
        <v>99</v>
      </c>
      <c r="B41" s="11">
        <v>39</v>
      </c>
      <c r="C41" s="44">
        <f t="shared" si="4"/>
        <v>4727685.5496310312</v>
      </c>
      <c r="D41" s="3">
        <f t="shared" si="5"/>
        <v>3840434.9738783604</v>
      </c>
      <c r="E41" s="3">
        <f t="shared" si="12"/>
        <v>408835775.91539168</v>
      </c>
      <c r="F41" s="3"/>
      <c r="G41" s="11"/>
      <c r="H41" s="11"/>
      <c r="K41" s="168"/>
      <c r="L41" s="117"/>
      <c r="M41" s="168" t="s">
        <v>5024</v>
      </c>
      <c r="N41" s="113">
        <v>-18000000</v>
      </c>
      <c r="O41" s="243" t="s">
        <v>25</v>
      </c>
      <c r="P41" s="114" t="s">
        <v>25</v>
      </c>
      <c r="Q41" s="169">
        <v>850188</v>
      </c>
      <c r="R41" s="213" t="s">
        <v>5030</v>
      </c>
      <c r="S41" s="197">
        <f>S40-1</f>
        <v>123</v>
      </c>
      <c r="T41" s="213" t="s">
        <v>5031</v>
      </c>
      <c r="U41" s="213">
        <v>201.9</v>
      </c>
      <c r="V41" s="213">
        <f t="shared" si="6"/>
        <v>224.01938958904114</v>
      </c>
      <c r="W41" s="32">
        <f t="shared" si="14"/>
        <v>228.49977738082197</v>
      </c>
      <c r="X41" s="32">
        <f t="shared" si="15"/>
        <v>232.9801651726028</v>
      </c>
      <c r="Y41" s="96"/>
      <c r="Z41" s="96"/>
      <c r="AA41" s="96"/>
      <c r="AB41" s="96"/>
      <c r="AC41" s="96"/>
      <c r="AD41" s="96"/>
      <c r="AH41" s="99">
        <v>22</v>
      </c>
      <c r="AI41" s="113" t="s">
        <v>4054</v>
      </c>
      <c r="AJ41" s="113">
        <v>-98000</v>
      </c>
      <c r="AK41" s="99">
        <v>1</v>
      </c>
      <c r="AL41" s="99">
        <f t="shared" si="10"/>
        <v>495</v>
      </c>
      <c r="AM41" s="113">
        <f t="shared" si="11"/>
        <v>-48510000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c r="L42" s="117"/>
      <c r="M42" s="168" t="s">
        <v>5025</v>
      </c>
      <c r="N42" s="113">
        <v>-47000000</v>
      </c>
      <c r="O42" s="96" t="s">
        <v>25</v>
      </c>
      <c r="P42" s="96" t="s">
        <v>25</v>
      </c>
      <c r="Q42" s="169">
        <v>119890</v>
      </c>
      <c r="R42" s="213" t="s">
        <v>5044</v>
      </c>
      <c r="S42" s="197">
        <f>S41-6</f>
        <v>117</v>
      </c>
      <c r="T42" s="213" t="s">
        <v>5046</v>
      </c>
      <c r="U42" s="213">
        <v>210.1</v>
      </c>
      <c r="V42" s="213">
        <f t="shared" si="6"/>
        <v>232.15071452054795</v>
      </c>
      <c r="W42" s="32">
        <f t="shared" si="14"/>
        <v>236.79372881095892</v>
      </c>
      <c r="X42" s="32">
        <f t="shared" si="15"/>
        <v>241.43674310136987</v>
      </c>
      <c r="Y42" s="115" t="s">
        <v>25</v>
      </c>
      <c r="Z42" s="115"/>
      <c r="AA42" s="115"/>
      <c r="AB42" s="115"/>
      <c r="AC42" s="115"/>
      <c r="AD42" s="115"/>
      <c r="AE42" s="115"/>
      <c r="AF42" s="115"/>
      <c r="AH42" s="99">
        <v>23</v>
      </c>
      <c r="AI42" s="113" t="s">
        <v>4048</v>
      </c>
      <c r="AJ42" s="113">
        <v>-26000000</v>
      </c>
      <c r="AK42" s="99">
        <v>0</v>
      </c>
      <c r="AL42" s="99">
        <f t="shared" si="10"/>
        <v>494</v>
      </c>
      <c r="AM42" s="113">
        <f t="shared" si="11"/>
        <v>-12844000000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68"/>
      <c r="N43" s="113"/>
      <c r="O43" s="114"/>
      <c r="P43" s="96"/>
      <c r="Q43" s="169">
        <v>102858</v>
      </c>
      <c r="R43" s="213" t="s">
        <v>5063</v>
      </c>
      <c r="S43" s="197">
        <f>S42-6</f>
        <v>111</v>
      </c>
      <c r="T43" s="213" t="s">
        <v>5066</v>
      </c>
      <c r="U43" s="213">
        <v>213.3</v>
      </c>
      <c r="V43" s="213">
        <f t="shared" si="6"/>
        <v>234.70480109589045</v>
      </c>
      <c r="W43" s="32">
        <f t="shared" si="14"/>
        <v>239.39889711780825</v>
      </c>
      <c r="X43" s="32">
        <f t="shared" si="15"/>
        <v>244.09299313972608</v>
      </c>
      <c r="Y43" s="115"/>
      <c r="Z43" s="115"/>
      <c r="AA43" s="115" t="s">
        <v>25</v>
      </c>
      <c r="AB43" s="115"/>
      <c r="AC43" s="115"/>
      <c r="AD43" s="115"/>
      <c r="AE43" s="115"/>
      <c r="AF43" s="115"/>
      <c r="AH43" s="99">
        <v>24</v>
      </c>
      <c r="AI43" s="113" t="s">
        <v>4048</v>
      </c>
      <c r="AJ43" s="113">
        <v>25000000</v>
      </c>
      <c r="AK43" s="99">
        <v>1</v>
      </c>
      <c r="AL43" s="99">
        <f t="shared" si="10"/>
        <v>494</v>
      </c>
      <c r="AM43" s="113">
        <f t="shared" si="11"/>
        <v>12350000000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t="s">
        <v>5178</v>
      </c>
      <c r="L44" s="117">
        <v>-1683146</v>
      </c>
      <c r="M44" s="168" t="s">
        <v>4444</v>
      </c>
      <c r="N44" s="113">
        <v>0</v>
      </c>
      <c r="O44" s="114">
        <v>-3746688</v>
      </c>
      <c r="P44" t="s">
        <v>25</v>
      </c>
      <c r="Q44" s="169">
        <v>9991144</v>
      </c>
      <c r="R44" s="213" t="s">
        <v>5070</v>
      </c>
      <c r="S44" s="197">
        <f>S43-2</f>
        <v>109</v>
      </c>
      <c r="T44" s="213" t="s">
        <v>5072</v>
      </c>
      <c r="U44" s="213">
        <v>221</v>
      </c>
      <c r="V44" s="213">
        <f t="shared" si="6"/>
        <v>242.83843287671235</v>
      </c>
      <c r="W44" s="32">
        <f t="shared" si="14"/>
        <v>247.69520153424659</v>
      </c>
      <c r="X44" s="32">
        <f t="shared" si="15"/>
        <v>252.55197019178084</v>
      </c>
      <c r="Y44" s="115" t="s">
        <v>25</v>
      </c>
      <c r="Z44" s="115"/>
      <c r="AA44" s="115"/>
      <c r="AB44" s="115"/>
      <c r="AC44" s="115"/>
      <c r="AD44" s="115" t="s">
        <v>25</v>
      </c>
      <c r="AE44" s="115"/>
      <c r="AF44" s="115"/>
      <c r="AH44" s="99">
        <v>25</v>
      </c>
      <c r="AI44" s="113" t="s">
        <v>4049</v>
      </c>
      <c r="AJ44" s="113">
        <v>110000</v>
      </c>
      <c r="AK44" s="99">
        <v>1</v>
      </c>
      <c r="AL44" s="99">
        <f t="shared" si="10"/>
        <v>493</v>
      </c>
      <c r="AM44" s="113">
        <f t="shared" si="11"/>
        <v>54230000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262" t="s">
        <v>5134</v>
      </c>
      <c r="L45" s="117">
        <v>-19795000</v>
      </c>
      <c r="M45" s="168"/>
      <c r="N45" s="113"/>
      <c r="O45" s="99"/>
      <c r="P45" s="99"/>
      <c r="Q45" s="169">
        <v>23124984</v>
      </c>
      <c r="R45" s="213" t="s">
        <v>5100</v>
      </c>
      <c r="S45" s="197">
        <f>S44-19</f>
        <v>90</v>
      </c>
      <c r="T45" s="213" t="s">
        <v>5103</v>
      </c>
      <c r="U45" s="213">
        <v>234</v>
      </c>
      <c r="V45" s="213">
        <f t="shared" si="6"/>
        <v>253.71241643835623</v>
      </c>
      <c r="W45" s="32">
        <f t="shared" si="14"/>
        <v>258.78666476712334</v>
      </c>
      <c r="X45" s="32">
        <f t="shared" si="15"/>
        <v>263.86091309589051</v>
      </c>
      <c r="Y45" s="115"/>
      <c r="Z45" s="115"/>
      <c r="AA45" s="115"/>
      <c r="AB45" s="115"/>
      <c r="AC45" s="115" t="s">
        <v>25</v>
      </c>
      <c r="AD45" s="115" t="s">
        <v>25</v>
      </c>
      <c r="AE45" s="115"/>
      <c r="AF45" s="115" t="s">
        <v>25</v>
      </c>
      <c r="AH45" s="99">
        <v>26</v>
      </c>
      <c r="AI45" s="113" t="s">
        <v>3798</v>
      </c>
      <c r="AJ45" s="113">
        <v>380000</v>
      </c>
      <c r="AK45" s="99">
        <v>7</v>
      </c>
      <c r="AL45" s="99">
        <f t="shared" si="10"/>
        <v>492</v>
      </c>
      <c r="AM45" s="113">
        <f t="shared" si="11"/>
        <v>186960000</v>
      </c>
      <c r="AN45" s="99"/>
      <c r="AQ45" s="96"/>
      <c r="AR45" s="96"/>
      <c r="AS45" s="96"/>
      <c r="AV45" s="96"/>
    </row>
    <row r="46" spans="1:54" ht="30">
      <c r="A46" s="62">
        <v>99</v>
      </c>
      <c r="B46" s="11">
        <v>44</v>
      </c>
      <c r="C46" s="50">
        <f t="shared" si="4"/>
        <v>4968845.0263747573</v>
      </c>
      <c r="D46" s="3">
        <f t="shared" si="5"/>
        <v>4036335.7543016877</v>
      </c>
      <c r="E46" s="3">
        <f t="shared" si="12"/>
        <v>456143524.53016472</v>
      </c>
      <c r="F46" s="3"/>
      <c r="G46" s="11"/>
      <c r="H46" s="11"/>
      <c r="J46" s="114"/>
      <c r="K46" s="36" t="s">
        <v>5375</v>
      </c>
      <c r="L46" s="117">
        <f>-22884*P50</f>
        <v>-6981908.4000000004</v>
      </c>
      <c r="M46" s="21" t="s">
        <v>4380</v>
      </c>
      <c r="N46" s="117">
        <f t="shared" ref="N46:N53" si="16">O46*P46</f>
        <v>283696.39999999997</v>
      </c>
      <c r="O46" s="69">
        <v>52</v>
      </c>
      <c r="P46" s="69">
        <v>5455.7</v>
      </c>
      <c r="Q46" s="169">
        <v>25661167</v>
      </c>
      <c r="R46" s="213" t="s">
        <v>5104</v>
      </c>
      <c r="S46" s="197">
        <f>S45-1</f>
        <v>89</v>
      </c>
      <c r="T46" s="213" t="s">
        <v>5220</v>
      </c>
      <c r="U46" s="213">
        <v>224</v>
      </c>
      <c r="V46" s="213">
        <f t="shared" si="6"/>
        <v>242.69816986301373</v>
      </c>
      <c r="W46" s="32">
        <f t="shared" si="14"/>
        <v>247.55213326027402</v>
      </c>
      <c r="X46" s="32">
        <f t="shared" si="15"/>
        <v>252.40609665753428</v>
      </c>
      <c r="Y46" s="115" t="s">
        <v>25</v>
      </c>
      <c r="Z46" s="115"/>
      <c r="AA46" s="115"/>
      <c r="AB46" s="115"/>
      <c r="AC46" s="115"/>
      <c r="AD46" s="115"/>
      <c r="AE46" s="115"/>
      <c r="AF46" s="115"/>
      <c r="AH46" s="99">
        <v>27</v>
      </c>
      <c r="AI46" s="113" t="s">
        <v>3884</v>
      </c>
      <c r="AJ46" s="113">
        <v>450000</v>
      </c>
      <c r="AK46" s="99">
        <v>6</v>
      </c>
      <c r="AL46" s="99">
        <f t="shared" si="10"/>
        <v>485</v>
      </c>
      <c r="AM46" s="113">
        <f t="shared" si="11"/>
        <v>218250000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99" t="s">
        <v>5341</v>
      </c>
      <c r="L47" s="117">
        <f>-1200*P53</f>
        <v>-13680000</v>
      </c>
      <c r="M47" s="19" t="s">
        <v>4398</v>
      </c>
      <c r="N47" s="117">
        <f t="shared" si="16"/>
        <v>74002530</v>
      </c>
      <c r="O47" s="69">
        <v>92735</v>
      </c>
      <c r="P47" s="69">
        <v>798</v>
      </c>
      <c r="Q47" s="169">
        <v>196926</v>
      </c>
      <c r="R47" s="213" t="s">
        <v>5135</v>
      </c>
      <c r="S47" s="197">
        <f>S46-19</f>
        <v>70</v>
      </c>
      <c r="T47" s="213" t="s">
        <v>5136</v>
      </c>
      <c r="U47" s="213">
        <v>4083.7</v>
      </c>
      <c r="V47" s="213">
        <f t="shared" si="6"/>
        <v>4365.0613358904111</v>
      </c>
      <c r="W47" s="32">
        <f t="shared" si="14"/>
        <v>4452.3625626082194</v>
      </c>
      <c r="X47" s="32">
        <f t="shared" si="15"/>
        <v>4539.6637893260277</v>
      </c>
      <c r="Y47" s="122" t="s">
        <v>25</v>
      </c>
      <c r="Z47" s="115"/>
      <c r="AA47" s="115"/>
      <c r="AB47" s="115"/>
      <c r="AC47" s="115"/>
      <c r="AD47" s="115" t="s">
        <v>25</v>
      </c>
      <c r="AE47" s="115"/>
      <c r="AF47" s="115"/>
      <c r="AH47" s="99">
        <v>28</v>
      </c>
      <c r="AI47" s="113" t="s">
        <v>3908</v>
      </c>
      <c r="AJ47" s="113">
        <v>2800000</v>
      </c>
      <c r="AK47" s="99">
        <v>1</v>
      </c>
      <c r="AL47" s="99">
        <f t="shared" si="10"/>
        <v>479</v>
      </c>
      <c r="AM47" s="113">
        <f t="shared" si="11"/>
        <v>1341200000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4384</v>
      </c>
      <c r="N48" s="117">
        <f t="shared" si="16"/>
        <v>21879000</v>
      </c>
      <c r="O48" s="69">
        <v>3366</v>
      </c>
      <c r="P48" s="69">
        <v>6500</v>
      </c>
      <c r="Q48" s="169">
        <v>500584</v>
      </c>
      <c r="R48" s="213" t="s">
        <v>5140</v>
      </c>
      <c r="S48" s="197">
        <f>S47-1</f>
        <v>69</v>
      </c>
      <c r="T48" s="213" t="s">
        <v>5141</v>
      </c>
      <c r="U48" s="213">
        <v>4051</v>
      </c>
      <c r="V48" s="213">
        <f t="shared" si="6"/>
        <v>4327.000734246576</v>
      </c>
      <c r="W48" s="32">
        <f t="shared" si="14"/>
        <v>4413.5407489315076</v>
      </c>
      <c r="X48" s="32">
        <f t="shared" si="15"/>
        <v>4500.0807636164391</v>
      </c>
      <c r="Y48" s="115" t="s">
        <v>25</v>
      </c>
      <c r="Z48" s="115"/>
      <c r="AA48" s="115"/>
      <c r="AB48" s="115" t="s">
        <v>25</v>
      </c>
      <c r="AC48" s="115"/>
      <c r="AD48" s="115"/>
      <c r="AE48" s="115"/>
      <c r="AF48" s="115"/>
      <c r="AH48" s="99">
        <v>29</v>
      </c>
      <c r="AI48" s="113" t="s">
        <v>3909</v>
      </c>
      <c r="AJ48" s="113">
        <v>-1500000</v>
      </c>
      <c r="AK48" s="99">
        <v>0</v>
      </c>
      <c r="AL48" s="99">
        <f t="shared" si="10"/>
        <v>478</v>
      </c>
      <c r="AM48" s="113">
        <f t="shared" si="11"/>
        <v>-717000000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19" t="s">
        <v>5355</v>
      </c>
      <c r="N49" s="117">
        <f t="shared" si="16"/>
        <v>47678.8</v>
      </c>
      <c r="O49" s="69">
        <v>173</v>
      </c>
      <c r="P49" s="69">
        <v>275.60000000000002</v>
      </c>
      <c r="Q49" s="169">
        <v>741022</v>
      </c>
      <c r="R49" s="213" t="s">
        <v>5129</v>
      </c>
      <c r="S49" s="197">
        <f>S48-22</f>
        <v>47</v>
      </c>
      <c r="T49" s="213" t="s">
        <v>5177</v>
      </c>
      <c r="U49" s="213">
        <v>737.6</v>
      </c>
      <c r="V49" s="213">
        <f t="shared" si="6"/>
        <v>775.40553643835631</v>
      </c>
      <c r="W49" s="32">
        <f t="shared" si="14"/>
        <v>790.91364716712349</v>
      </c>
      <c r="X49" s="32">
        <f t="shared" si="15"/>
        <v>806.42175789589055</v>
      </c>
      <c r="Y49" s="122" t="s">
        <v>25</v>
      </c>
      <c r="AC49" t="s">
        <v>25</v>
      </c>
      <c r="AD49" t="s">
        <v>25</v>
      </c>
      <c r="AF49" s="115"/>
      <c r="AH49" s="99">
        <v>30</v>
      </c>
      <c r="AI49" s="113" t="s">
        <v>3909</v>
      </c>
      <c r="AJ49" s="113">
        <v>3050000</v>
      </c>
      <c r="AK49" s="99">
        <v>3</v>
      </c>
      <c r="AL49" s="99">
        <f>AL50+AK49</f>
        <v>478</v>
      </c>
      <c r="AM49" s="113">
        <f t="shared" si="11"/>
        <v>1457900000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262" t="s">
        <v>5374</v>
      </c>
      <c r="L50" s="117">
        <f>130165*P50</f>
        <v>39713341.5</v>
      </c>
      <c r="M50" s="19" t="s">
        <v>4174</v>
      </c>
      <c r="N50" s="113">
        <f t="shared" si="16"/>
        <v>912288357.9000001</v>
      </c>
      <c r="O50" s="99">
        <v>2990129</v>
      </c>
      <c r="P50" s="99">
        <v>305.10000000000002</v>
      </c>
      <c r="Q50" s="169">
        <v>1866540</v>
      </c>
      <c r="R50" s="213" t="s">
        <v>5180</v>
      </c>
      <c r="S50" s="197">
        <f>S49-1</f>
        <v>46</v>
      </c>
      <c r="T50" s="213" t="s">
        <v>5181</v>
      </c>
      <c r="U50" s="213">
        <v>740.2</v>
      </c>
      <c r="V50" s="213">
        <f t="shared" si="6"/>
        <v>777.57097424657547</v>
      </c>
      <c r="W50" s="32">
        <f t="shared" ref="W50:W60" si="17">V50*(1+$W$19/100)</f>
        <v>793.12239373150703</v>
      </c>
      <c r="X50" s="32">
        <f t="shared" ref="X50:X60" si="18">V50*(1+$X$19/100)</f>
        <v>808.67381321643848</v>
      </c>
      <c r="Y50" t="s">
        <v>25</v>
      </c>
      <c r="AA50" s="96"/>
      <c r="AH50" s="99">
        <v>31</v>
      </c>
      <c r="AI50" s="113" t="s">
        <v>3933</v>
      </c>
      <c r="AJ50" s="113">
        <v>-8299612</v>
      </c>
      <c r="AK50" s="99">
        <v>2</v>
      </c>
      <c r="AL50" s="99">
        <f t="shared" si="10"/>
        <v>475</v>
      </c>
      <c r="AM50" s="113">
        <f t="shared" si="11"/>
        <v>-3942315700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262"/>
      <c r="L51" s="117"/>
      <c r="M51" s="19" t="s">
        <v>5215</v>
      </c>
      <c r="N51" s="113">
        <f t="shared" si="16"/>
        <v>0</v>
      </c>
      <c r="O51" s="99">
        <v>0</v>
      </c>
      <c r="P51" s="99">
        <v>3050</v>
      </c>
      <c r="Q51" s="169">
        <v>1373184</v>
      </c>
      <c r="R51" s="213" t="s">
        <v>5184</v>
      </c>
      <c r="S51" s="197">
        <f>S50-3</f>
        <v>43</v>
      </c>
      <c r="T51" s="213" t="s">
        <v>5185</v>
      </c>
      <c r="U51" s="213">
        <v>750.6</v>
      </c>
      <c r="V51" s="213">
        <f t="shared" si="6"/>
        <v>786.7686378082193</v>
      </c>
      <c r="W51" s="32">
        <f t="shared" si="17"/>
        <v>802.50401056438375</v>
      </c>
      <c r="X51" s="32">
        <f t="shared" si="18"/>
        <v>818.23938332054809</v>
      </c>
      <c r="AA51" s="96"/>
      <c r="AH51" s="99">
        <v>32</v>
      </c>
      <c r="AI51" s="113" t="s">
        <v>3928</v>
      </c>
      <c r="AJ51" s="113">
        <v>5000000</v>
      </c>
      <c r="AK51" s="99">
        <v>14</v>
      </c>
      <c r="AL51" s="99">
        <f t="shared" si="10"/>
        <v>473</v>
      </c>
      <c r="AM51" s="113">
        <f t="shared" si="11"/>
        <v>2365000000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21" t="s">
        <v>1083</v>
      </c>
      <c r="N52" s="117">
        <f t="shared" si="16"/>
        <v>0</v>
      </c>
      <c r="O52" s="69">
        <v>0</v>
      </c>
      <c r="P52" s="69">
        <v>405000</v>
      </c>
      <c r="Q52" s="169">
        <v>2099259</v>
      </c>
      <c r="R52" s="213" t="s">
        <v>5184</v>
      </c>
      <c r="S52" s="197">
        <f>S51</f>
        <v>43</v>
      </c>
      <c r="T52" s="213" t="s">
        <v>5365</v>
      </c>
      <c r="U52" s="213">
        <v>4317.3</v>
      </c>
      <c r="V52" s="213">
        <f t="shared" ref="V52:V83" si="19">U52*(1+$R$121+$Q$15*S52/36500)</f>
        <v>4525.3347189041106</v>
      </c>
      <c r="W52" s="32">
        <f t="shared" si="17"/>
        <v>4615.8414132821927</v>
      </c>
      <c r="X52" s="32">
        <f t="shared" si="18"/>
        <v>4706.3481076602748</v>
      </c>
      <c r="Y52" t="s">
        <v>25</v>
      </c>
      <c r="AA52" s="96"/>
      <c r="AH52" s="99">
        <v>33</v>
      </c>
      <c r="AI52" s="113" t="s">
        <v>988</v>
      </c>
      <c r="AJ52" s="113">
        <v>-90000</v>
      </c>
      <c r="AK52" s="99">
        <v>1</v>
      </c>
      <c r="AL52" s="99">
        <f t="shared" si="10"/>
        <v>459</v>
      </c>
      <c r="AM52" s="113">
        <f t="shared" si="11"/>
        <v>-41310000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73" t="s">
        <v>5214</v>
      </c>
      <c r="N53" s="117">
        <f t="shared" si="16"/>
        <v>0</v>
      </c>
      <c r="O53" s="74">
        <v>0</v>
      </c>
      <c r="P53" s="74">
        <v>11400</v>
      </c>
      <c r="Q53" s="169">
        <v>4660</v>
      </c>
      <c r="R53" s="213" t="s">
        <v>5191</v>
      </c>
      <c r="S53" s="197">
        <f>S52-2</f>
        <v>41</v>
      </c>
      <c r="T53" s="213" t="s">
        <v>5192</v>
      </c>
      <c r="U53" s="213">
        <v>773.1</v>
      </c>
      <c r="V53" s="213">
        <f t="shared" si="19"/>
        <v>809.16670356164389</v>
      </c>
      <c r="W53" s="32">
        <f t="shared" si="17"/>
        <v>825.35003763287682</v>
      </c>
      <c r="X53" s="32">
        <f t="shared" si="18"/>
        <v>841.53337170410964</v>
      </c>
      <c r="Y53" t="s">
        <v>25</v>
      </c>
      <c r="Z53" t="s">
        <v>25</v>
      </c>
      <c r="AH53" s="99">
        <v>34</v>
      </c>
      <c r="AI53" s="113" t="s">
        <v>4050</v>
      </c>
      <c r="AJ53" s="113">
        <v>5600000</v>
      </c>
      <c r="AK53" s="99">
        <v>4</v>
      </c>
      <c r="AL53" s="99">
        <f t="shared" si="10"/>
        <v>458</v>
      </c>
      <c r="AM53" s="113">
        <f t="shared" si="11"/>
        <v>2564800000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168" t="s">
        <v>1149</v>
      </c>
      <c r="N54" s="117">
        <v>14908</v>
      </c>
      <c r="O54" s="96" t="s">
        <v>25</v>
      </c>
      <c r="P54" t="s">
        <v>25</v>
      </c>
      <c r="Q54" s="169">
        <v>545132</v>
      </c>
      <c r="R54" s="213" t="s">
        <v>5193</v>
      </c>
      <c r="S54" s="197">
        <f>S53-1</f>
        <v>40</v>
      </c>
      <c r="T54" s="213" t="s">
        <v>5194</v>
      </c>
      <c r="U54" s="213">
        <v>778.5</v>
      </c>
      <c r="V54" s="213">
        <f t="shared" si="19"/>
        <v>814.22141917808233</v>
      </c>
      <c r="W54" s="32">
        <f t="shared" si="17"/>
        <v>830.50584756164403</v>
      </c>
      <c r="X54" s="32">
        <f t="shared" si="18"/>
        <v>846.79027594520562</v>
      </c>
      <c r="Y54" t="s">
        <v>25</v>
      </c>
      <c r="AH54" s="99">
        <v>35</v>
      </c>
      <c r="AI54" s="113" t="s">
        <v>3978</v>
      </c>
      <c r="AJ54" s="113">
        <v>750000</v>
      </c>
      <c r="AK54" s="99">
        <v>2</v>
      </c>
      <c r="AL54" s="99">
        <f t="shared" si="10"/>
        <v>454</v>
      </c>
      <c r="AM54" s="113">
        <f t="shared" si="11"/>
        <v>340500000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168" t="s">
        <v>1150</v>
      </c>
      <c r="N55" s="117">
        <v>5282</v>
      </c>
      <c r="O55" s="96" t="s">
        <v>25</v>
      </c>
      <c r="P55" t="s">
        <v>25</v>
      </c>
      <c r="Q55" s="169">
        <v>179841</v>
      </c>
      <c r="R55" s="213" t="s">
        <v>5213</v>
      </c>
      <c r="S55" s="197">
        <f>S54-8</f>
        <v>32</v>
      </c>
      <c r="T55" s="213" t="s">
        <v>5216</v>
      </c>
      <c r="U55" s="213">
        <v>791.2</v>
      </c>
      <c r="V55" s="213">
        <f t="shared" si="19"/>
        <v>822.64857424657555</v>
      </c>
      <c r="W55" s="32">
        <f t="shared" si="17"/>
        <v>839.10154573150703</v>
      </c>
      <c r="X55" s="32">
        <f t="shared" si="18"/>
        <v>855.55451721643863</v>
      </c>
      <c r="Y55" t="s">
        <v>25</v>
      </c>
      <c r="Z55" t="s">
        <v>25</v>
      </c>
      <c r="AH55" s="171">
        <v>36</v>
      </c>
      <c r="AI55" s="170" t="s">
        <v>3988</v>
      </c>
      <c r="AJ55" s="170">
        <v>-4242000</v>
      </c>
      <c r="AK55" s="171">
        <v>2</v>
      </c>
      <c r="AL55" s="171">
        <f t="shared" si="10"/>
        <v>452</v>
      </c>
      <c r="AM55" s="170">
        <f t="shared" si="11"/>
        <v>-1917384000</v>
      </c>
      <c r="AN55" s="171" t="s">
        <v>4059</v>
      </c>
    </row>
    <row r="56" spans="1:45">
      <c r="A56" s="63">
        <v>1400</v>
      </c>
      <c r="B56" s="11">
        <v>54</v>
      </c>
      <c r="C56" s="49">
        <f t="shared" si="4"/>
        <v>5488696.1538729779</v>
      </c>
      <c r="D56" s="3">
        <f t="shared" si="5"/>
        <v>4458625.7797899675</v>
      </c>
      <c r="E56" s="3">
        <f t="shared" si="12"/>
        <v>566808386.86092329</v>
      </c>
      <c r="F56" s="3"/>
      <c r="G56" s="11"/>
      <c r="H56" s="11"/>
      <c r="K56" s="99"/>
      <c r="L56" s="117"/>
      <c r="M56" s="168"/>
      <c r="N56" s="113"/>
      <c r="O56" s="115"/>
      <c r="P56" s="115"/>
      <c r="Q56" s="169">
        <v>2889559</v>
      </c>
      <c r="R56" s="213" t="s">
        <v>5147</v>
      </c>
      <c r="S56" s="197">
        <f>S55-3</f>
        <v>29</v>
      </c>
      <c r="T56" s="213" t="s">
        <v>5219</v>
      </c>
      <c r="U56" s="213">
        <v>782.4</v>
      </c>
      <c r="V56" s="213">
        <f t="shared" si="19"/>
        <v>811.69820054794513</v>
      </c>
      <c r="W56" s="32">
        <f t="shared" si="17"/>
        <v>827.93216455890411</v>
      </c>
      <c r="X56" s="32">
        <f t="shared" si="18"/>
        <v>844.16612856986296</v>
      </c>
      <c r="Y56" s="96" t="s">
        <v>25</v>
      </c>
      <c r="AH56" s="99">
        <v>37</v>
      </c>
      <c r="AI56" s="113" t="s">
        <v>3988</v>
      </c>
      <c r="AJ56" s="113">
        <v>4100000</v>
      </c>
      <c r="AK56" s="99">
        <v>0</v>
      </c>
      <c r="AL56" s="99">
        <f t="shared" si="10"/>
        <v>450</v>
      </c>
      <c r="AM56" s="113">
        <f t="shared" si="11"/>
        <v>1845000000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s="99"/>
      <c r="P57" s="99"/>
      <c r="Q57" s="169">
        <v>1773978</v>
      </c>
      <c r="R57" s="213" t="s">
        <v>5222</v>
      </c>
      <c r="S57" s="197">
        <f>S56-1</f>
        <v>28</v>
      </c>
      <c r="T57" s="213" t="s">
        <v>5224</v>
      </c>
      <c r="U57" s="213">
        <v>766.4</v>
      </c>
      <c r="V57" s="213">
        <f t="shared" si="19"/>
        <v>794.51113205479453</v>
      </c>
      <c r="W57" s="32">
        <f t="shared" si="17"/>
        <v>810.4013546958904</v>
      </c>
      <c r="X57" s="32">
        <f t="shared" si="18"/>
        <v>826.29157733698639</v>
      </c>
      <c r="Y57" t="s">
        <v>25</v>
      </c>
      <c r="AH57" s="99">
        <v>38</v>
      </c>
      <c r="AI57" s="113" t="s">
        <v>3994</v>
      </c>
      <c r="AJ57" s="113">
        <v>4100000</v>
      </c>
      <c r="AK57" s="99">
        <v>1</v>
      </c>
      <c r="AL57" s="99">
        <f t="shared" si="10"/>
        <v>450</v>
      </c>
      <c r="AM57" s="113">
        <f t="shared" si="11"/>
        <v>1845000000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Q58" s="169">
        <v>4937080</v>
      </c>
      <c r="R58" s="213" t="s">
        <v>5222</v>
      </c>
      <c r="S58" s="197">
        <f>S57</f>
        <v>28</v>
      </c>
      <c r="T58" s="213" t="s">
        <v>5225</v>
      </c>
      <c r="U58" s="213">
        <v>289.10000000000002</v>
      </c>
      <c r="V58" s="213">
        <f t="shared" si="19"/>
        <v>299.70402958904117</v>
      </c>
      <c r="W58" s="32">
        <f t="shared" si="17"/>
        <v>305.69811018082197</v>
      </c>
      <c r="X58" s="32">
        <f t="shared" si="18"/>
        <v>311.69219077260283</v>
      </c>
      <c r="Y58" t="s">
        <v>25</v>
      </c>
      <c r="AH58" s="99">
        <v>39</v>
      </c>
      <c r="AI58" s="113" t="s">
        <v>4003</v>
      </c>
      <c r="AJ58" s="113">
        <v>790000</v>
      </c>
      <c r="AK58" s="99">
        <v>15</v>
      </c>
      <c r="AL58" s="99">
        <f t="shared" si="10"/>
        <v>449</v>
      </c>
      <c r="AM58" s="113">
        <f t="shared" si="11"/>
        <v>354710000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Q59" s="169">
        <v>4029844</v>
      </c>
      <c r="R59" s="213" t="s">
        <v>5231</v>
      </c>
      <c r="S59" s="197">
        <f>S58-6</f>
        <v>22</v>
      </c>
      <c r="T59" s="213" t="s">
        <v>5233</v>
      </c>
      <c r="U59" s="213">
        <v>275.10000000000002</v>
      </c>
      <c r="V59" s="213">
        <f t="shared" si="19"/>
        <v>283.92430356164391</v>
      </c>
      <c r="W59" s="32">
        <f t="shared" si="17"/>
        <v>289.60278963287681</v>
      </c>
      <c r="X59" s="32">
        <f t="shared" si="18"/>
        <v>295.2812757041097</v>
      </c>
      <c r="Y59" t="s">
        <v>25</v>
      </c>
      <c r="Z59" s="96"/>
      <c r="AA59" s="96"/>
      <c r="AB59" s="96"/>
      <c r="AC59" s="96"/>
      <c r="AH59" s="171">
        <v>40</v>
      </c>
      <c r="AI59" s="170" t="s">
        <v>4034</v>
      </c>
      <c r="AJ59" s="170">
        <v>-3865000</v>
      </c>
      <c r="AK59" s="171">
        <v>6</v>
      </c>
      <c r="AL59" s="171">
        <f t="shared" si="10"/>
        <v>434</v>
      </c>
      <c r="AM59" s="172">
        <f t="shared" si="11"/>
        <v>-1677410000</v>
      </c>
      <c r="AN59" s="171" t="s">
        <v>4060</v>
      </c>
    </row>
    <row r="60" spans="1:45">
      <c r="A60" s="63">
        <v>1400</v>
      </c>
      <c r="B60" s="11">
        <v>58</v>
      </c>
      <c r="C60" s="3">
        <f t="shared" si="4"/>
        <v>5711559.227391799</v>
      </c>
      <c r="D60" s="3">
        <f t="shared" si="5"/>
        <v>4639663.8655388169</v>
      </c>
      <c r="E60" s="3">
        <f t="shared" si="12"/>
        <v>617883306.24587286</v>
      </c>
      <c r="F60" s="3"/>
      <c r="G60" s="11"/>
      <c r="H60" s="11"/>
      <c r="K60" s="168"/>
      <c r="L60" s="117"/>
      <c r="M60" s="168" t="s">
        <v>4431</v>
      </c>
      <c r="N60" s="113">
        <f>-S202</f>
        <v>-24491388.82861007</v>
      </c>
      <c r="Q60" s="169">
        <v>716284</v>
      </c>
      <c r="R60" s="213" t="s">
        <v>5236</v>
      </c>
      <c r="S60" s="197">
        <f>S59-1</f>
        <v>21</v>
      </c>
      <c r="T60" s="213" t="s">
        <v>5238</v>
      </c>
      <c r="U60" s="213">
        <v>275.60000000000002</v>
      </c>
      <c r="V60" s="213">
        <f t="shared" si="19"/>
        <v>284.22892273972604</v>
      </c>
      <c r="W60" s="32">
        <f t="shared" si="17"/>
        <v>289.91350119452056</v>
      </c>
      <c r="X60" s="32">
        <f t="shared" si="18"/>
        <v>295.59807964931508</v>
      </c>
      <c r="Y60" t="s">
        <v>25</v>
      </c>
      <c r="Z60" s="96" t="s">
        <v>25</v>
      </c>
      <c r="AA60" s="96"/>
      <c r="AB60" s="96"/>
      <c r="AC60" s="96"/>
      <c r="AH60" s="20">
        <v>41</v>
      </c>
      <c r="AI60" s="117" t="s">
        <v>4064</v>
      </c>
      <c r="AJ60" s="117">
        <v>18800000</v>
      </c>
      <c r="AK60" s="20">
        <v>3</v>
      </c>
      <c r="AL60" s="99">
        <f t="shared" si="10"/>
        <v>428</v>
      </c>
      <c r="AM60" s="113">
        <f t="shared" si="11"/>
        <v>8046400000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P61" t="s">
        <v>25</v>
      </c>
      <c r="Q61" s="169">
        <v>6955516</v>
      </c>
      <c r="R61" s="213" t="s">
        <v>5241</v>
      </c>
      <c r="S61" s="197">
        <f>S60-2</f>
        <v>19</v>
      </c>
      <c r="T61" s="213" t="s">
        <v>5251</v>
      </c>
      <c r="U61" s="213">
        <v>288.5</v>
      </c>
      <c r="V61" s="213">
        <f t="shared" si="19"/>
        <v>297.09018630136984</v>
      </c>
      <c r="W61" s="32">
        <f t="shared" ref="W61:W78" si="20">V61*(1+$W$19/100)</f>
        <v>303.03199002739723</v>
      </c>
      <c r="X61" s="32">
        <f t="shared" ref="X61:X78" si="21">V61*(1+$X$19/100)</f>
        <v>308.97379375342467</v>
      </c>
      <c r="Y61" t="s">
        <v>25</v>
      </c>
      <c r="Z61" s="96"/>
      <c r="AA61" s="96"/>
      <c r="AB61" s="96"/>
      <c r="AC61" s="96"/>
      <c r="AH61" s="20">
        <v>42</v>
      </c>
      <c r="AI61" s="117" t="s">
        <v>4081</v>
      </c>
      <c r="AJ61" s="117">
        <v>500000</v>
      </c>
      <c r="AK61" s="20">
        <v>1</v>
      </c>
      <c r="AL61" s="99">
        <f t="shared" si="10"/>
        <v>425</v>
      </c>
      <c r="AM61" s="113">
        <f t="shared" si="11"/>
        <v>212500000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c r="O62" t="s">
        <v>25</v>
      </c>
      <c r="P62" t="s">
        <v>25</v>
      </c>
      <c r="Q62" s="169">
        <v>479691</v>
      </c>
      <c r="R62" s="213" t="s">
        <v>5275</v>
      </c>
      <c r="S62" s="197">
        <f>S61-4</f>
        <v>15</v>
      </c>
      <c r="T62" s="213" t="s">
        <v>5276</v>
      </c>
      <c r="U62" s="213">
        <v>7461.3</v>
      </c>
      <c r="V62" s="213">
        <f t="shared" si="19"/>
        <v>7660.5678147945218</v>
      </c>
      <c r="W62" s="32">
        <f t="shared" si="20"/>
        <v>7813.7791710904121</v>
      </c>
      <c r="X62" s="32">
        <f t="shared" si="21"/>
        <v>7966.9905273863033</v>
      </c>
      <c r="Y62" t="s">
        <v>25</v>
      </c>
      <c r="Z62" s="96"/>
      <c r="AA62" s="96"/>
      <c r="AB62" s="96"/>
      <c r="AC62" s="96"/>
      <c r="AH62" s="20">
        <v>43</v>
      </c>
      <c r="AI62" s="117" t="s">
        <v>4085</v>
      </c>
      <c r="AJ62" s="117">
        <v>200000</v>
      </c>
      <c r="AK62" s="20">
        <v>3</v>
      </c>
      <c r="AL62" s="99">
        <f>AL63+AK62</f>
        <v>424</v>
      </c>
      <c r="AM62" s="113">
        <f t="shared" si="11"/>
        <v>84800000</v>
      </c>
      <c r="AN62" s="20"/>
    </row>
    <row r="63" spans="1:45">
      <c r="E63" s="26"/>
      <c r="K63" s="168" t="s">
        <v>598</v>
      </c>
      <c r="L63" s="113">
        <f>SUM(L16:L47)</f>
        <v>671069725.86237776</v>
      </c>
      <c r="M63" s="168"/>
      <c r="N63" s="113">
        <f>SUM(N16:N62)</f>
        <v>905159054.00901234</v>
      </c>
      <c r="Q63" s="169">
        <v>354034</v>
      </c>
      <c r="R63" s="213" t="s">
        <v>5291</v>
      </c>
      <c r="S63" s="197">
        <f>S62-3</f>
        <v>12</v>
      </c>
      <c r="T63" s="213" t="s">
        <v>5292</v>
      </c>
      <c r="U63" s="213">
        <v>7048.7</v>
      </c>
      <c r="V63" s="213">
        <f t="shared" si="19"/>
        <v>7220.7269030136995</v>
      </c>
      <c r="W63" s="32">
        <f t="shared" si="20"/>
        <v>7365.1414410739735</v>
      </c>
      <c r="X63" s="32">
        <f t="shared" si="21"/>
        <v>7509.5559791342475</v>
      </c>
      <c r="Y63" t="s">
        <v>25</v>
      </c>
      <c r="Z63" s="96"/>
      <c r="AA63" s="96"/>
      <c r="AB63" s="96"/>
      <c r="AC63" s="96"/>
      <c r="AH63" s="20">
        <v>44</v>
      </c>
      <c r="AI63" s="117" t="s">
        <v>4092</v>
      </c>
      <c r="AJ63" s="117">
        <v>1000000</v>
      </c>
      <c r="AK63" s="20">
        <v>3</v>
      </c>
      <c r="AL63" s="99">
        <f t="shared" si="10"/>
        <v>421</v>
      </c>
      <c r="AM63" s="113">
        <f t="shared" si="11"/>
        <v>421000000</v>
      </c>
      <c r="AN63" s="20"/>
    </row>
    <row r="64" spans="1:45">
      <c r="E64" s="26"/>
      <c r="K64" s="168" t="s">
        <v>599</v>
      </c>
      <c r="L64" s="113">
        <f>L16+L17+L28</f>
        <v>1279322</v>
      </c>
      <c r="M64" s="168"/>
      <c r="N64" s="113">
        <f>N16+N17+N37</f>
        <v>641053</v>
      </c>
      <c r="Q64" s="169">
        <v>512931</v>
      </c>
      <c r="R64" s="213" t="s">
        <v>973</v>
      </c>
      <c r="S64" s="197">
        <f>S63-4</f>
        <v>8</v>
      </c>
      <c r="T64" s="213" t="s">
        <v>5305</v>
      </c>
      <c r="U64" s="213">
        <v>298.39999999999998</v>
      </c>
      <c r="V64" s="213">
        <f t="shared" si="19"/>
        <v>304.76695671232875</v>
      </c>
      <c r="W64" s="32">
        <f t="shared" si="20"/>
        <v>310.86229584657531</v>
      </c>
      <c r="X64" s="32">
        <f t="shared" si="21"/>
        <v>316.95763498082192</v>
      </c>
      <c r="Y64" t="s">
        <v>25</v>
      </c>
      <c r="Z64" s="96"/>
      <c r="AA64" s="96"/>
      <c r="AB64" s="96"/>
      <c r="AC64" s="96"/>
      <c r="AH64" s="20">
        <v>45</v>
      </c>
      <c r="AI64" s="117" t="s">
        <v>4104</v>
      </c>
      <c r="AJ64" s="117">
        <v>1300000</v>
      </c>
      <c r="AK64" s="20">
        <v>0</v>
      </c>
      <c r="AL64" s="99">
        <f>AL65+AK64</f>
        <v>418</v>
      </c>
      <c r="AM64" s="113">
        <f t="shared" si="11"/>
        <v>543400000</v>
      </c>
      <c r="AN64" s="20"/>
    </row>
    <row r="65" spans="1:40">
      <c r="K65" s="56" t="s">
        <v>715</v>
      </c>
      <c r="L65" s="1">
        <f>L63+N7</f>
        <v>771069725.86237776</v>
      </c>
      <c r="M65" s="113"/>
      <c r="N65" s="168"/>
      <c r="O65" s="115"/>
      <c r="P65" s="115"/>
      <c r="Q65" s="169">
        <v>230024</v>
      </c>
      <c r="R65" s="213" t="s">
        <v>5312</v>
      </c>
      <c r="S65" s="197">
        <f>S64-3</f>
        <v>5</v>
      </c>
      <c r="T65" s="213" t="s">
        <v>5315</v>
      </c>
      <c r="U65" s="213">
        <v>296.2</v>
      </c>
      <c r="V65" s="213">
        <f t="shared" si="19"/>
        <v>301.83834958904112</v>
      </c>
      <c r="W65" s="32">
        <f t="shared" si="20"/>
        <v>307.87511658082195</v>
      </c>
      <c r="X65" s="32">
        <f t="shared" si="21"/>
        <v>313.91188357260279</v>
      </c>
      <c r="Y65" t="s">
        <v>25</v>
      </c>
      <c r="Z65" s="96" t="s">
        <v>25</v>
      </c>
      <c r="AA65" s="96"/>
      <c r="AB65" s="96"/>
      <c r="AC65" s="96"/>
      <c r="AH65" s="20">
        <v>45</v>
      </c>
      <c r="AI65" s="117" t="s">
        <v>4104</v>
      </c>
      <c r="AJ65" s="117">
        <v>995000</v>
      </c>
      <c r="AK65" s="20">
        <v>2</v>
      </c>
      <c r="AL65" s="99">
        <f t="shared" ref="AL65:AL92" si="22">AL66+AK65</f>
        <v>418</v>
      </c>
      <c r="AM65" s="113">
        <f t="shared" si="11"/>
        <v>415910000</v>
      </c>
      <c r="AN65" s="20"/>
    </row>
    <row r="66" spans="1:40">
      <c r="O66" s="96"/>
      <c r="P66" s="96"/>
      <c r="Q66" s="169">
        <v>1505833</v>
      </c>
      <c r="R66" s="213" t="s">
        <v>5312</v>
      </c>
      <c r="S66" s="197">
        <f>S65</f>
        <v>5</v>
      </c>
      <c r="T66" s="213" t="s">
        <v>5316</v>
      </c>
      <c r="U66" s="213">
        <v>6722.1</v>
      </c>
      <c r="V66" s="213">
        <f t="shared" si="19"/>
        <v>6850.0593172602748</v>
      </c>
      <c r="W66" s="32">
        <f t="shared" si="20"/>
        <v>6987.0605036054803</v>
      </c>
      <c r="X66" s="32">
        <f t="shared" si="21"/>
        <v>7124.0616899506858</v>
      </c>
      <c r="Y66" t="s">
        <v>25</v>
      </c>
      <c r="Z66" s="96"/>
      <c r="AA66" s="96"/>
      <c r="AB66" s="96"/>
      <c r="AC66" s="96"/>
      <c r="AH66" s="20">
        <v>46</v>
      </c>
      <c r="AI66" s="117" t="s">
        <v>4114</v>
      </c>
      <c r="AJ66" s="117">
        <v>13000000</v>
      </c>
      <c r="AK66" s="20">
        <v>2</v>
      </c>
      <c r="AL66" s="99">
        <f t="shared" si="22"/>
        <v>416</v>
      </c>
      <c r="AM66" s="113">
        <f t="shared" si="11"/>
        <v>5408000000</v>
      </c>
      <c r="AN66" s="20"/>
    </row>
    <row r="67" spans="1:40">
      <c r="A67" t="s">
        <v>25</v>
      </c>
      <c r="F67" t="s">
        <v>310</v>
      </c>
      <c r="G67" t="s">
        <v>4096</v>
      </c>
      <c r="M67" s="25"/>
      <c r="O67" t="s">
        <v>25</v>
      </c>
      <c r="Q67" s="169">
        <v>908423</v>
      </c>
      <c r="R67" s="213" t="s">
        <v>990</v>
      </c>
      <c r="S67" s="197">
        <f>S66-6</f>
        <v>-1</v>
      </c>
      <c r="T67" s="213" t="s">
        <v>5329</v>
      </c>
      <c r="U67" s="213">
        <v>6905</v>
      </c>
      <c r="V67" s="213">
        <f t="shared" si="19"/>
        <v>7004.6590136986315</v>
      </c>
      <c r="W67" s="32">
        <f t="shared" si="20"/>
        <v>7144.7521939726039</v>
      </c>
      <c r="X67" s="32">
        <f t="shared" si="21"/>
        <v>7284.8453742465772</v>
      </c>
      <c r="Y67" t="s">
        <v>25</v>
      </c>
      <c r="Z67" s="96"/>
      <c r="AA67" s="96"/>
      <c r="AB67" s="96"/>
      <c r="AC67" s="96"/>
      <c r="AH67" s="20">
        <v>47</v>
      </c>
      <c r="AI67" s="117" t="s">
        <v>4127</v>
      </c>
      <c r="AJ67" s="117">
        <v>-3100000</v>
      </c>
      <c r="AK67" s="20">
        <v>3</v>
      </c>
      <c r="AL67" s="99">
        <f t="shared" si="22"/>
        <v>414</v>
      </c>
      <c r="AM67" s="113">
        <f t="shared" si="11"/>
        <v>-1283400000</v>
      </c>
      <c r="AN67" s="20"/>
    </row>
    <row r="68" spans="1:40">
      <c r="F68" t="s">
        <v>4100</v>
      </c>
      <c r="G68" t="s">
        <v>4095</v>
      </c>
      <c r="M68" s="25" t="s">
        <v>4077</v>
      </c>
      <c r="N68" s="96"/>
      <c r="O68" s="96" t="s">
        <v>25</v>
      </c>
      <c r="P68" s="115"/>
      <c r="Q68" s="169">
        <v>5102831</v>
      </c>
      <c r="R68" s="213" t="s">
        <v>4272</v>
      </c>
      <c r="S68" s="197">
        <f>S67-1</f>
        <v>-2</v>
      </c>
      <c r="T68" s="213" t="s">
        <v>5333</v>
      </c>
      <c r="U68" s="213">
        <v>310.3</v>
      </c>
      <c r="V68" s="213">
        <f t="shared" si="19"/>
        <v>314.54048328767124</v>
      </c>
      <c r="W68" s="32">
        <f t="shared" si="20"/>
        <v>320.83129295342468</v>
      </c>
      <c r="X68" s="32">
        <f t="shared" si="21"/>
        <v>327.12210261917812</v>
      </c>
      <c r="Y68" t="s">
        <v>25</v>
      </c>
      <c r="Z68" s="96"/>
      <c r="AA68" s="96"/>
      <c r="AB68" s="96"/>
      <c r="AC68" s="96"/>
      <c r="AH68" s="20">
        <v>48</v>
      </c>
      <c r="AI68" s="117" t="s">
        <v>4142</v>
      </c>
      <c r="AJ68" s="117">
        <v>45640000</v>
      </c>
      <c r="AK68" s="20">
        <v>1</v>
      </c>
      <c r="AL68" s="99">
        <f t="shared" si="22"/>
        <v>411</v>
      </c>
      <c r="AM68" s="113">
        <f t="shared" si="11"/>
        <v>18758040000</v>
      </c>
      <c r="AN68" s="20"/>
    </row>
    <row r="69" spans="1:40">
      <c r="F69" t="s">
        <v>4101</v>
      </c>
      <c r="G69" t="s">
        <v>4097</v>
      </c>
      <c r="M69" s="177"/>
      <c r="N69" s="96"/>
      <c r="O69" s="96"/>
      <c r="P69" s="115"/>
      <c r="Q69" s="169">
        <v>200222</v>
      </c>
      <c r="R69" s="213" t="s">
        <v>5340</v>
      </c>
      <c r="S69" s="197">
        <f>S68-5</f>
        <v>-7</v>
      </c>
      <c r="T69" s="213" t="s">
        <v>5346</v>
      </c>
      <c r="U69" s="213">
        <v>300.60000000000002</v>
      </c>
      <c r="V69" s="213">
        <f t="shared" si="19"/>
        <v>303.55493917808224</v>
      </c>
      <c r="W69" s="32">
        <f t="shared" si="20"/>
        <v>309.62603796164387</v>
      </c>
      <c r="X69" s="32">
        <f t="shared" si="21"/>
        <v>315.69713674520551</v>
      </c>
      <c r="Y69" s="122" t="s">
        <v>25</v>
      </c>
      <c r="Z69" s="96"/>
      <c r="AA69" s="96"/>
      <c r="AB69" s="96"/>
      <c r="AC69" s="96"/>
      <c r="AH69" s="20">
        <v>49</v>
      </c>
      <c r="AI69" s="117" t="s">
        <v>4147</v>
      </c>
      <c r="AJ69" s="117">
        <v>33500000</v>
      </c>
      <c r="AK69" s="20">
        <v>1</v>
      </c>
      <c r="AL69" s="99">
        <f t="shared" si="22"/>
        <v>410</v>
      </c>
      <c r="AM69" s="113">
        <f t="shared" si="11"/>
        <v>13735000000</v>
      </c>
      <c r="AN69" s="20"/>
    </row>
    <row r="70" spans="1:40">
      <c r="G70" t="s">
        <v>4098</v>
      </c>
      <c r="M70" s="96" t="s">
        <v>4789</v>
      </c>
      <c r="N70" s="96"/>
      <c r="O70" s="96"/>
      <c r="Q70" s="169">
        <v>188509</v>
      </c>
      <c r="R70" s="213" t="s">
        <v>5349</v>
      </c>
      <c r="S70" s="197">
        <f>S69-1</f>
        <v>-8</v>
      </c>
      <c r="T70" s="213" t="s">
        <v>5350</v>
      </c>
      <c r="U70" s="213">
        <v>306.10000000000002</v>
      </c>
      <c r="V70" s="213">
        <f t="shared" si="19"/>
        <v>308.87418849315077</v>
      </c>
      <c r="W70" s="32">
        <f t="shared" si="20"/>
        <v>315.05167226301381</v>
      </c>
      <c r="X70" s="32">
        <f t="shared" si="21"/>
        <v>321.2291560328768</v>
      </c>
      <c r="Y70" s="122" t="s">
        <v>25</v>
      </c>
      <c r="Z70" t="s">
        <v>25</v>
      </c>
      <c r="AH70" s="20">
        <v>50</v>
      </c>
      <c r="AI70" s="117" t="s">
        <v>4152</v>
      </c>
      <c r="AJ70" s="117">
        <v>12000000</v>
      </c>
      <c r="AK70" s="20">
        <v>1</v>
      </c>
      <c r="AL70" s="99">
        <f t="shared" si="22"/>
        <v>409</v>
      </c>
      <c r="AM70" s="117">
        <f t="shared" si="11"/>
        <v>4908000000</v>
      </c>
      <c r="AN70" s="20"/>
    </row>
    <row r="71" spans="1:40">
      <c r="G71" t="s">
        <v>4099</v>
      </c>
      <c r="M71" s="122" t="s">
        <v>4399</v>
      </c>
      <c r="O71" s="114"/>
      <c r="Q71" s="169">
        <v>458868</v>
      </c>
      <c r="R71" s="213" t="s">
        <v>5352</v>
      </c>
      <c r="S71" s="197">
        <f>S70-2</f>
        <v>-10</v>
      </c>
      <c r="T71" s="213" t="s">
        <v>5354</v>
      </c>
      <c r="U71" s="213">
        <v>304.5</v>
      </c>
      <c r="V71" s="213">
        <f t="shared" si="19"/>
        <v>306.79250958904112</v>
      </c>
      <c r="W71" s="32">
        <f t="shared" si="20"/>
        <v>312.92835978082195</v>
      </c>
      <c r="X71" s="32">
        <f t="shared" si="21"/>
        <v>319.06420997260278</v>
      </c>
      <c r="AH71" s="20">
        <v>51</v>
      </c>
      <c r="AI71" s="117" t="s">
        <v>4157</v>
      </c>
      <c r="AJ71" s="117">
        <v>15500000</v>
      </c>
      <c r="AK71" s="20">
        <v>4</v>
      </c>
      <c r="AL71" s="99">
        <f t="shared" si="22"/>
        <v>408</v>
      </c>
      <c r="AM71" s="117">
        <f t="shared" si="11"/>
        <v>6324000000</v>
      </c>
      <c r="AN71" s="20"/>
    </row>
    <row r="72" spans="1:40">
      <c r="G72" t="s">
        <v>4103</v>
      </c>
      <c r="M72" s="122" t="s">
        <v>4491</v>
      </c>
      <c r="N72" s="96"/>
      <c r="Q72" s="169">
        <v>37537</v>
      </c>
      <c r="R72" s="213" t="s">
        <v>5352</v>
      </c>
      <c r="S72" s="197">
        <f>S71</f>
        <v>-10</v>
      </c>
      <c r="T72" s="213" t="s">
        <v>5356</v>
      </c>
      <c r="U72" s="213">
        <v>216</v>
      </c>
      <c r="V72" s="213">
        <f t="shared" si="19"/>
        <v>217.62621369863015</v>
      </c>
      <c r="W72" s="32">
        <f t="shared" si="20"/>
        <v>221.97873797260277</v>
      </c>
      <c r="X72" s="32">
        <f t="shared" si="21"/>
        <v>226.33126224657536</v>
      </c>
      <c r="Y72" s="122" t="s">
        <v>25</v>
      </c>
      <c r="Z72" t="s">
        <v>25</v>
      </c>
      <c r="AH72" s="20">
        <v>52</v>
      </c>
      <c r="AI72" s="117" t="s">
        <v>4161</v>
      </c>
      <c r="AJ72" s="117">
        <v>150000</v>
      </c>
      <c r="AK72" s="20">
        <v>1</v>
      </c>
      <c r="AL72" s="99">
        <f t="shared" si="22"/>
        <v>404</v>
      </c>
      <c r="AM72" s="117">
        <f t="shared" si="11"/>
        <v>60600000</v>
      </c>
      <c r="AN72" s="20"/>
    </row>
    <row r="73" spans="1:40">
      <c r="G73" t="s">
        <v>4102</v>
      </c>
      <c r="M73" s="122" t="s">
        <v>4561</v>
      </c>
      <c r="N73" s="96"/>
      <c r="P73" t="s">
        <v>25</v>
      </c>
      <c r="Q73" s="169">
        <v>1962799</v>
      </c>
      <c r="R73" s="213" t="s">
        <v>5360</v>
      </c>
      <c r="S73" s="197">
        <f>S72-3</f>
        <v>-13</v>
      </c>
      <c r="T73" s="213" t="s">
        <v>5363</v>
      </c>
      <c r="U73" s="213">
        <v>6513.1</v>
      </c>
      <c r="V73" s="213">
        <f t="shared" si="19"/>
        <v>6547.1465610958912</v>
      </c>
      <c r="W73" s="32">
        <f t="shared" si="20"/>
        <v>6678.0894923178093</v>
      </c>
      <c r="X73" s="32">
        <f t="shared" si="21"/>
        <v>6809.0324235397275</v>
      </c>
      <c r="Y73" t="s">
        <v>25</v>
      </c>
      <c r="AH73" s="179">
        <v>53</v>
      </c>
      <c r="AI73" s="180" t="s">
        <v>4167</v>
      </c>
      <c r="AJ73" s="180">
        <v>29000000</v>
      </c>
      <c r="AK73" s="179">
        <v>15</v>
      </c>
      <c r="AL73" s="179">
        <f t="shared" si="22"/>
        <v>403</v>
      </c>
      <c r="AM73" s="180">
        <f t="shared" si="11"/>
        <v>11687000000</v>
      </c>
      <c r="AN73" s="179" t="s">
        <v>4177</v>
      </c>
    </row>
    <row r="74" spans="1:40" ht="30">
      <c r="K74" s="212" t="s">
        <v>4725</v>
      </c>
      <c r="L74" s="22" t="s">
        <v>4701</v>
      </c>
      <c r="M74" s="206" t="s">
        <v>4680</v>
      </c>
      <c r="N74" s="96"/>
      <c r="P74" s="115"/>
      <c r="Q74" s="169">
        <v>459771</v>
      </c>
      <c r="R74" s="213" t="s">
        <v>5360</v>
      </c>
      <c r="S74" s="197">
        <f>S73</f>
        <v>-13</v>
      </c>
      <c r="T74" s="213" t="s">
        <v>5364</v>
      </c>
      <c r="U74" s="213">
        <v>305.10000000000002</v>
      </c>
      <c r="V74" s="213">
        <f t="shared" si="19"/>
        <v>306.69487890410966</v>
      </c>
      <c r="W74" s="32">
        <f t="shared" si="20"/>
        <v>312.82877648219187</v>
      </c>
      <c r="X74" s="32">
        <f t="shared" si="21"/>
        <v>318.96267406027408</v>
      </c>
      <c r="AH74" s="20">
        <v>54</v>
      </c>
      <c r="AI74" s="117" t="s">
        <v>4201</v>
      </c>
      <c r="AJ74" s="117">
        <v>-130000</v>
      </c>
      <c r="AK74" s="20">
        <v>7</v>
      </c>
      <c r="AL74" s="99">
        <f t="shared" si="22"/>
        <v>388</v>
      </c>
      <c r="AM74" s="117">
        <f t="shared" si="11"/>
        <v>-50440000</v>
      </c>
      <c r="AN74" s="20" t="s">
        <v>4203</v>
      </c>
    </row>
    <row r="75" spans="1:40" ht="21">
      <c r="G75" s="48" t="s">
        <v>787</v>
      </c>
      <c r="H75" s="201" t="s">
        <v>476</v>
      </c>
      <c r="K75" t="s">
        <v>4726</v>
      </c>
      <c r="M75" s="259" t="s">
        <v>5039</v>
      </c>
      <c r="N75" s="96"/>
      <c r="P75" s="115" t="s">
        <v>25</v>
      </c>
      <c r="Q75" s="169">
        <v>101835</v>
      </c>
      <c r="R75" s="213" t="s">
        <v>5367</v>
      </c>
      <c r="S75" s="197">
        <f>S74-2</f>
        <v>-15</v>
      </c>
      <c r="T75" s="213" t="s">
        <v>5368</v>
      </c>
      <c r="U75" s="213">
        <v>304.39999999999998</v>
      </c>
      <c r="V75" s="213">
        <f t="shared" si="19"/>
        <v>305.52419506849316</v>
      </c>
      <c r="W75" s="32">
        <f t="shared" si="20"/>
        <v>311.63467896986305</v>
      </c>
      <c r="X75" s="32">
        <f t="shared" si="21"/>
        <v>317.74516287123288</v>
      </c>
      <c r="AH75" s="20">
        <v>55</v>
      </c>
      <c r="AI75" s="117" t="s">
        <v>4249</v>
      </c>
      <c r="AJ75" s="117">
        <v>232000</v>
      </c>
      <c r="AK75" s="20">
        <v>2</v>
      </c>
      <c r="AL75" s="99">
        <f t="shared" si="22"/>
        <v>381</v>
      </c>
      <c r="AM75" s="117">
        <f>AJ75*AL75</f>
        <v>88392000</v>
      </c>
      <c r="AN75" s="20" t="s">
        <v>4251</v>
      </c>
    </row>
    <row r="76" spans="1:40">
      <c r="D76" s="3"/>
      <c r="E76" s="11" t="s">
        <v>304</v>
      </c>
      <c r="G76" s="47">
        <v>700000</v>
      </c>
      <c r="H76" s="201" t="s">
        <v>1037</v>
      </c>
      <c r="K76" t="s">
        <v>4564</v>
      </c>
      <c r="L76" s="96"/>
      <c r="M76" s="122" t="s">
        <v>5377</v>
      </c>
      <c r="O76" t="s">
        <v>25</v>
      </c>
      <c r="P76" s="115"/>
      <c r="Q76" s="169">
        <v>154568</v>
      </c>
      <c r="R76" s="213" t="s">
        <v>5369</v>
      </c>
      <c r="S76" s="197">
        <f>S75-2</f>
        <v>-17</v>
      </c>
      <c r="T76" s="213" t="s">
        <v>5372</v>
      </c>
      <c r="U76" s="213">
        <v>6690</v>
      </c>
      <c r="V76" s="213">
        <f t="shared" si="19"/>
        <v>6704.4430684931513</v>
      </c>
      <c r="W76" s="32">
        <f t="shared" si="20"/>
        <v>6838.5319298630147</v>
      </c>
      <c r="X76" s="32">
        <f t="shared" si="21"/>
        <v>6972.6207912328773</v>
      </c>
      <c r="Y76" s="122" t="s">
        <v>25</v>
      </c>
      <c r="AH76" s="20">
        <v>56</v>
      </c>
      <c r="AI76" s="117" t="s">
        <v>4260</v>
      </c>
      <c r="AJ76" s="117">
        <v>-170000</v>
      </c>
      <c r="AK76" s="20">
        <v>3</v>
      </c>
      <c r="AL76" s="99">
        <f t="shared" si="22"/>
        <v>379</v>
      </c>
      <c r="AM76" s="117">
        <f t="shared" si="11"/>
        <v>-64430000</v>
      </c>
      <c r="AN76" s="20"/>
    </row>
    <row r="77" spans="1:40">
      <c r="D77" s="1" t="s">
        <v>305</v>
      </c>
      <c r="E77" s="1">
        <v>70000</v>
      </c>
      <c r="G77" s="47">
        <v>500000</v>
      </c>
      <c r="H77" s="201" t="s">
        <v>479</v>
      </c>
      <c r="K77" t="s">
        <v>4790</v>
      </c>
      <c r="M77" s="96">
        <f>O50+O21+O33-O57</f>
        <v>5017484</v>
      </c>
      <c r="N77" s="113">
        <f>M77*P50</f>
        <v>1530834368.4000001</v>
      </c>
      <c r="P77" s="115"/>
      <c r="Q77" s="169">
        <v>306634</v>
      </c>
      <c r="R77" s="213" t="s">
        <v>5384</v>
      </c>
      <c r="S77" s="197">
        <f>S76-5</f>
        <v>-22</v>
      </c>
      <c r="T77" s="213" t="s">
        <v>5386</v>
      </c>
      <c r="U77" s="213">
        <v>303.7</v>
      </c>
      <c r="V77" s="213">
        <f t="shared" si="19"/>
        <v>303.19078246575344</v>
      </c>
      <c r="W77" s="32">
        <f t="shared" si="20"/>
        <v>309.25459811506852</v>
      </c>
      <c r="X77" s="32">
        <f t="shared" si="21"/>
        <v>315.31841376438359</v>
      </c>
      <c r="Y77" t="s">
        <v>25</v>
      </c>
      <c r="AA77" t="s">
        <v>25</v>
      </c>
      <c r="AH77" s="20">
        <v>57</v>
      </c>
      <c r="AI77" s="117" t="s">
        <v>4274</v>
      </c>
      <c r="AJ77" s="117">
        <v>-300000</v>
      </c>
      <c r="AK77" s="20">
        <v>3</v>
      </c>
      <c r="AL77" s="99">
        <f t="shared" si="22"/>
        <v>376</v>
      </c>
      <c r="AM77" s="117">
        <f t="shared" si="11"/>
        <v>-112800000</v>
      </c>
      <c r="AN77" s="20"/>
    </row>
    <row r="78" spans="1:40">
      <c r="D78" s="1" t="s">
        <v>321</v>
      </c>
      <c r="E78" s="1">
        <v>100000</v>
      </c>
      <c r="G78" s="47">
        <v>180000</v>
      </c>
      <c r="H78" s="201" t="s">
        <v>558</v>
      </c>
      <c r="K78" t="s">
        <v>4791</v>
      </c>
      <c r="M78" t="s">
        <v>4258</v>
      </c>
      <c r="P78" s="115"/>
      <c r="Q78" s="169" t="s">
        <v>25</v>
      </c>
      <c r="R78" s="168" t="s">
        <v>25</v>
      </c>
      <c r="S78" s="168"/>
      <c r="T78" s="168"/>
      <c r="U78" s="168"/>
      <c r="V78" s="213">
        <f t="shared" si="19"/>
        <v>0</v>
      </c>
      <c r="W78" s="32">
        <f t="shared" si="20"/>
        <v>0</v>
      </c>
      <c r="X78" s="32">
        <f t="shared" si="21"/>
        <v>0</v>
      </c>
      <c r="Z78" t="s">
        <v>25</v>
      </c>
      <c r="AD78" s="115"/>
      <c r="AE78" s="115"/>
      <c r="AH78" s="20">
        <v>58</v>
      </c>
      <c r="AI78" s="117" t="s">
        <v>4283</v>
      </c>
      <c r="AJ78" s="117">
        <v>-11400000</v>
      </c>
      <c r="AK78" s="20">
        <v>13</v>
      </c>
      <c r="AL78" s="99">
        <f t="shared" ref="AL78:AL83" si="23">AL79+AK78</f>
        <v>373</v>
      </c>
      <c r="AM78" s="117">
        <f t="shared" si="11"/>
        <v>-4252200000</v>
      </c>
      <c r="AN78" s="20"/>
    </row>
    <row r="79" spans="1:40">
      <c r="D79" s="1" t="s">
        <v>306</v>
      </c>
      <c r="E79" s="1">
        <v>80000</v>
      </c>
      <c r="G79" s="47">
        <v>0</v>
      </c>
      <c r="H79" s="201" t="s">
        <v>783</v>
      </c>
      <c r="K79" t="s">
        <v>4792</v>
      </c>
      <c r="M79" t="s">
        <v>4566</v>
      </c>
      <c r="N79" t="s">
        <v>25</v>
      </c>
      <c r="P79" s="115"/>
      <c r="Q79" s="169">
        <f>SUM(N21:N26)-SUM(Q20:Q78)</f>
        <v>204562266.70000005</v>
      </c>
      <c r="R79" s="168"/>
      <c r="S79" s="168" t="s">
        <v>25</v>
      </c>
      <c r="T79" s="168"/>
      <c r="U79" s="168"/>
      <c r="V79" s="168"/>
      <c r="W79" s="32"/>
      <c r="X79" s="32"/>
      <c r="AC79" s="115"/>
      <c r="AD79" s="115"/>
      <c r="AE79" s="115"/>
      <c r="AF79"/>
      <c r="AH79" s="20">
        <v>59</v>
      </c>
      <c r="AI79" s="117" t="s">
        <v>4337</v>
      </c>
      <c r="AJ79" s="117">
        <v>-10000000</v>
      </c>
      <c r="AK79" s="20">
        <v>1</v>
      </c>
      <c r="AL79" s="99">
        <f t="shared" si="23"/>
        <v>360</v>
      </c>
      <c r="AM79" s="117">
        <f>AJ79*AL79</f>
        <v>-3600000000</v>
      </c>
      <c r="AN79" s="20"/>
    </row>
    <row r="80" spans="1:40" ht="26.25">
      <c r="D80" s="31" t="s">
        <v>307</v>
      </c>
      <c r="E80" s="1">
        <v>150000</v>
      </c>
      <c r="G80" s="47">
        <v>0</v>
      </c>
      <c r="H80" s="201" t="s">
        <v>784</v>
      </c>
      <c r="J80" t="s">
        <v>25</v>
      </c>
      <c r="K80" t="s">
        <v>4524</v>
      </c>
      <c r="M80" s="256"/>
      <c r="P80" s="115"/>
      <c r="R80" s="115" t="s">
        <v>25</v>
      </c>
      <c r="S80" s="115" t="s">
        <v>25</v>
      </c>
      <c r="T80" s="122" t="s">
        <v>25</v>
      </c>
      <c r="U80" s="115" t="s">
        <v>25</v>
      </c>
      <c r="V80" s="115" t="s">
        <v>25</v>
      </c>
      <c r="W80" s="194" t="s">
        <v>25</v>
      </c>
      <c r="X80" s="194"/>
      <c r="Z80" t="s">
        <v>25</v>
      </c>
      <c r="AC80" s="115"/>
      <c r="AD80" s="115"/>
      <c r="AE80" s="115"/>
      <c r="AF80"/>
      <c r="AH80" s="20">
        <v>60</v>
      </c>
      <c r="AI80" s="117" t="s">
        <v>4338</v>
      </c>
      <c r="AJ80" s="117">
        <v>-2450000</v>
      </c>
      <c r="AK80" s="20">
        <v>5</v>
      </c>
      <c r="AL80" s="99">
        <f t="shared" si="23"/>
        <v>359</v>
      </c>
      <c r="AM80" s="117">
        <f>AJ80*AL80</f>
        <v>-879550000</v>
      </c>
      <c r="AN80" s="20"/>
    </row>
    <row r="81" spans="4:52">
      <c r="D81" s="31" t="s">
        <v>308</v>
      </c>
      <c r="E81" s="1">
        <v>300000</v>
      </c>
      <c r="G81" s="47">
        <v>500000</v>
      </c>
      <c r="H81" s="48" t="s">
        <v>785</v>
      </c>
      <c r="K81" t="s">
        <v>4568</v>
      </c>
      <c r="M81" t="s">
        <v>5010</v>
      </c>
      <c r="P81" s="115"/>
      <c r="Q81" s="96"/>
      <c r="R81" s="115" t="s">
        <v>25</v>
      </c>
      <c r="S81" s="115"/>
      <c r="T81" s="115" t="s">
        <v>25</v>
      </c>
      <c r="U81" s="115" t="s">
        <v>25</v>
      </c>
      <c r="V81" s="122" t="s">
        <v>25</v>
      </c>
      <c r="W81" s="194"/>
      <c r="X81" s="194" t="s">
        <v>25</v>
      </c>
      <c r="AD81" s="115"/>
      <c r="AE81" s="115"/>
      <c r="AF81" s="115"/>
      <c r="AH81" s="20">
        <v>61</v>
      </c>
      <c r="AI81" s="117" t="s">
        <v>4362</v>
      </c>
      <c r="AJ81" s="117">
        <v>-456081</v>
      </c>
      <c r="AK81" s="20">
        <v>1</v>
      </c>
      <c r="AL81" s="99">
        <f t="shared" si="23"/>
        <v>354</v>
      </c>
      <c r="AM81" s="117">
        <f t="shared" si="11"/>
        <v>-161452674</v>
      </c>
      <c r="AN81" s="20"/>
    </row>
    <row r="82" spans="4:52">
      <c r="D82" s="31" t="s">
        <v>309</v>
      </c>
      <c r="E82" s="1">
        <v>100000</v>
      </c>
      <c r="G82" s="47">
        <v>75000</v>
      </c>
      <c r="H82" s="48" t="s">
        <v>786</v>
      </c>
      <c r="K82" t="s">
        <v>4523</v>
      </c>
      <c r="M82" s="261" t="s">
        <v>5050</v>
      </c>
      <c r="P82" s="115"/>
      <c r="Q82" s="168" t="s">
        <v>656</v>
      </c>
      <c r="R82" s="168"/>
      <c r="S82" s="168"/>
      <c r="T82" s="168"/>
      <c r="U82" s="168"/>
      <c r="V82" s="168"/>
      <c r="W82" s="32"/>
      <c r="X82" s="32"/>
      <c r="Y82" s="96" t="s">
        <v>25</v>
      </c>
      <c r="Z82" s="115"/>
      <c r="AA82" s="115"/>
      <c r="AB82" s="115"/>
      <c r="AC82" s="115"/>
      <c r="AD82" s="115"/>
      <c r="AE82" s="115"/>
      <c r="AF82" s="115"/>
      <c r="AH82" s="20">
        <v>62</v>
      </c>
      <c r="AI82" s="117" t="s">
        <v>4364</v>
      </c>
      <c r="AJ82" s="117">
        <v>-500000</v>
      </c>
      <c r="AK82" s="20">
        <v>2</v>
      </c>
      <c r="AL82" s="99">
        <f t="shared" si="23"/>
        <v>353</v>
      </c>
      <c r="AM82" s="117">
        <f t="shared" si="11"/>
        <v>-176500000</v>
      </c>
      <c r="AN82" s="20"/>
      <c r="AO82" t="s">
        <v>25</v>
      </c>
      <c r="AU82"/>
      <c r="AW82" t="s">
        <v>25</v>
      </c>
    </row>
    <row r="83" spans="4:52" ht="30">
      <c r="D83" s="31" t="s">
        <v>310</v>
      </c>
      <c r="E83" s="1">
        <v>200000</v>
      </c>
      <c r="G83" s="47">
        <v>0</v>
      </c>
      <c r="H83" s="48" t="s">
        <v>788</v>
      </c>
      <c r="K83" s="22" t="s">
        <v>4234</v>
      </c>
      <c r="M83" s="261" t="s">
        <v>5051</v>
      </c>
      <c r="O83" t="s">
        <v>25</v>
      </c>
      <c r="P83" t="s">
        <v>25</v>
      </c>
      <c r="Q83" s="168" t="s">
        <v>267</v>
      </c>
      <c r="R83" s="168" t="s">
        <v>180</v>
      </c>
      <c r="S83" s="168" t="s">
        <v>183</v>
      </c>
      <c r="T83" s="168" t="s">
        <v>8</v>
      </c>
      <c r="U83" s="168" t="s">
        <v>4353</v>
      </c>
      <c r="V83" s="73" t="s">
        <v>4355</v>
      </c>
      <c r="W83" s="32">
        <v>2</v>
      </c>
      <c r="X83" s="32">
        <v>4</v>
      </c>
      <c r="Y83" s="96" t="s">
        <v>25</v>
      </c>
      <c r="Z83" s="115"/>
      <c r="AA83" s="115"/>
      <c r="AB83" s="115"/>
      <c r="AC83" s="128"/>
      <c r="AD83" s="115"/>
      <c r="AE83" s="115"/>
      <c r="AF83" s="115"/>
      <c r="AH83" s="20">
        <v>63</v>
      </c>
      <c r="AI83" s="117" t="s">
        <v>4382</v>
      </c>
      <c r="AJ83" s="117">
        <v>-6234370</v>
      </c>
      <c r="AK83" s="20">
        <v>3</v>
      </c>
      <c r="AL83" s="99">
        <f t="shared" si="23"/>
        <v>351</v>
      </c>
      <c r="AM83" s="117">
        <f t="shared" si="11"/>
        <v>-2188263870</v>
      </c>
      <c r="AN83" s="20"/>
      <c r="AU83"/>
    </row>
    <row r="84" spans="4:52">
      <c r="D84" s="18" t="s">
        <v>311</v>
      </c>
      <c r="E84" s="18">
        <v>300000</v>
      </c>
      <c r="G84" s="47">
        <v>500000</v>
      </c>
      <c r="H84" s="48" t="s">
        <v>564</v>
      </c>
      <c r="J84">
        <v>0</v>
      </c>
      <c r="K84" t="s">
        <v>4520</v>
      </c>
      <c r="Q84" s="168">
        <v>0</v>
      </c>
      <c r="R84" s="168" t="s">
        <v>4167</v>
      </c>
      <c r="S84" s="168">
        <f>S125</f>
        <v>386</v>
      </c>
      <c r="T84" s="168"/>
      <c r="U84" s="168"/>
      <c r="V84" s="73"/>
      <c r="W84" s="32"/>
      <c r="X84" s="32"/>
      <c r="Y84" s="96" t="s">
        <v>25</v>
      </c>
      <c r="Z84" s="115" t="s">
        <v>25</v>
      </c>
      <c r="AA84" s="115"/>
      <c r="AB84" s="115"/>
      <c r="AC84" s="128"/>
      <c r="AD84" s="115"/>
      <c r="AE84" s="115"/>
      <c r="AF84" s="115"/>
      <c r="AH84" s="20">
        <v>64</v>
      </c>
      <c r="AI84" s="117" t="s">
        <v>4392</v>
      </c>
      <c r="AJ84" s="117">
        <v>1950957</v>
      </c>
      <c r="AK84" s="20">
        <v>4</v>
      </c>
      <c r="AL84" s="99">
        <f t="shared" si="22"/>
        <v>348</v>
      </c>
      <c r="AM84" s="117">
        <f t="shared" si="11"/>
        <v>678933036</v>
      </c>
      <c r="AN84" s="20"/>
      <c r="AZ84" t="s">
        <v>25</v>
      </c>
    </row>
    <row r="85" spans="4:52">
      <c r="D85" s="32" t="s">
        <v>312</v>
      </c>
      <c r="E85" s="1">
        <v>200000</v>
      </c>
      <c r="G85" s="47">
        <v>50000</v>
      </c>
      <c r="H85" s="48" t="s">
        <v>791</v>
      </c>
      <c r="K85" t="s">
        <v>4287</v>
      </c>
      <c r="Q85" s="169">
        <v>863944</v>
      </c>
      <c r="R85" s="168" t="s">
        <v>4423</v>
      </c>
      <c r="S85" s="168">
        <f>S84-62</f>
        <v>324</v>
      </c>
      <c r="T85" s="190" t="s">
        <v>4494</v>
      </c>
      <c r="U85" s="168">
        <v>184.6</v>
      </c>
      <c r="V85" s="168">
        <f t="shared" ref="V85:V116" si="24">U85*(1+$R$121+$Q$15*S85/36500)</f>
        <v>233.28787068493153</v>
      </c>
      <c r="W85" s="32">
        <f t="shared" ref="W85:W114" si="25">V85*(1+$W$19/100)</f>
        <v>237.95362809863016</v>
      </c>
      <c r="X85" s="32">
        <f t="shared" ref="X85:X114" si="26">V85*(1+$X$19/100)</f>
        <v>242.61938551232879</v>
      </c>
      <c r="Y85" s="96" t="s">
        <v>25</v>
      </c>
      <c r="Z85" s="115"/>
      <c r="AA85" s="115"/>
      <c r="AB85" s="115"/>
      <c r="AC85" s="128"/>
      <c r="AD85" s="115"/>
      <c r="AE85" s="115"/>
      <c r="AF85" s="115"/>
      <c r="AH85" s="20">
        <v>65</v>
      </c>
      <c r="AI85" s="117" t="s">
        <v>4417</v>
      </c>
      <c r="AJ85" s="117">
        <v>600000</v>
      </c>
      <c r="AK85" s="20">
        <v>5</v>
      </c>
      <c r="AL85" s="99">
        <f t="shared" si="22"/>
        <v>344</v>
      </c>
      <c r="AM85" s="117">
        <f t="shared" si="11"/>
        <v>206400000</v>
      </c>
      <c r="AN85" s="20"/>
    </row>
    <row r="86" spans="4:52">
      <c r="D86" s="32" t="s">
        <v>313</v>
      </c>
      <c r="E86" s="1">
        <v>20000</v>
      </c>
      <c r="G86" s="47">
        <v>140000</v>
      </c>
      <c r="H86" s="48" t="s">
        <v>314</v>
      </c>
      <c r="K86" t="s">
        <v>25</v>
      </c>
      <c r="Q86" s="169">
        <v>1692313</v>
      </c>
      <c r="R86" s="168" t="s">
        <v>4497</v>
      </c>
      <c r="S86" s="197">
        <f>S85-21</f>
        <v>303</v>
      </c>
      <c r="T86" s="189" t="s">
        <v>4498</v>
      </c>
      <c r="U86" s="168">
        <v>168.5</v>
      </c>
      <c r="V86" s="168">
        <f t="shared" si="24"/>
        <v>210.22706301369863</v>
      </c>
      <c r="W86" s="32">
        <f t="shared" si="25"/>
        <v>214.4316042739726</v>
      </c>
      <c r="X86" s="32">
        <f t="shared" si="26"/>
        <v>218.63614553424657</v>
      </c>
      <c r="Y86" s="96" t="s">
        <v>25</v>
      </c>
      <c r="Z86" s="115"/>
      <c r="AA86" s="115"/>
      <c r="AB86" s="115"/>
      <c r="AC86" s="128"/>
      <c r="AD86" s="115"/>
      <c r="AE86" s="115"/>
      <c r="AF86" s="115"/>
      <c r="AH86" s="20">
        <v>66</v>
      </c>
      <c r="AI86" s="117" t="s">
        <v>4425</v>
      </c>
      <c r="AJ86" s="117">
        <v>7500000</v>
      </c>
      <c r="AK86" s="20">
        <v>2</v>
      </c>
      <c r="AL86" s="99">
        <f t="shared" si="22"/>
        <v>339</v>
      </c>
      <c r="AM86" s="117">
        <f t="shared" si="11"/>
        <v>2542500000</v>
      </c>
      <c r="AN86" s="20"/>
      <c r="AS86" s="96"/>
    </row>
    <row r="87" spans="4:52">
      <c r="D87" s="32" t="s">
        <v>315</v>
      </c>
      <c r="E87" s="1">
        <v>50000</v>
      </c>
      <c r="G87" s="47"/>
      <c r="H87" s="48" t="s">
        <v>25</v>
      </c>
      <c r="J87">
        <v>0</v>
      </c>
      <c r="K87" s="96"/>
      <c r="M87" s="193" t="s">
        <v>4519</v>
      </c>
      <c r="Q87" s="169">
        <v>101153</v>
      </c>
      <c r="R87" s="168" t="s">
        <v>4500</v>
      </c>
      <c r="S87" s="197">
        <f>S86-1</f>
        <v>302</v>
      </c>
      <c r="T87" s="189" t="s">
        <v>4502</v>
      </c>
      <c r="U87" s="168">
        <v>166.7</v>
      </c>
      <c r="V87" s="168">
        <f t="shared" si="24"/>
        <v>207.85343452054795</v>
      </c>
      <c r="W87" s="32">
        <f t="shared" si="25"/>
        <v>212.01050321095892</v>
      </c>
      <c r="X87" s="32">
        <f t="shared" si="26"/>
        <v>216.16757190136988</v>
      </c>
      <c r="Y87" s="122" t="s">
        <v>25</v>
      </c>
      <c r="Z87" s="115"/>
      <c r="AA87" s="115"/>
      <c r="AB87" s="115"/>
      <c r="AC87" s="128"/>
      <c r="AD87" s="115"/>
      <c r="AE87" s="115"/>
      <c r="AF87" s="115"/>
      <c r="AH87" s="20">
        <v>67</v>
      </c>
      <c r="AI87" s="117" t="s">
        <v>4430</v>
      </c>
      <c r="AJ87" s="117">
        <v>-587816</v>
      </c>
      <c r="AK87" s="20">
        <v>3</v>
      </c>
      <c r="AL87" s="99">
        <f t="shared" si="22"/>
        <v>337</v>
      </c>
      <c r="AM87" s="117">
        <f t="shared" si="11"/>
        <v>-198093992</v>
      </c>
      <c r="AN87" s="20"/>
      <c r="AS87" s="96"/>
    </row>
    <row r="88" spans="4:52">
      <c r="D88" s="32" t="s">
        <v>316</v>
      </c>
      <c r="E88" s="1">
        <v>90000</v>
      </c>
      <c r="G88" s="47">
        <f>SUM(G76:G87)</f>
        <v>2645000</v>
      </c>
      <c r="H88" s="48" t="s">
        <v>6</v>
      </c>
      <c r="K88" s="96"/>
      <c r="M88" t="s">
        <v>4520</v>
      </c>
      <c r="Q88" s="169">
        <v>183105</v>
      </c>
      <c r="R88" s="168" t="s">
        <v>4222</v>
      </c>
      <c r="S88" s="197">
        <f>S87-1</f>
        <v>301</v>
      </c>
      <c r="T88" s="189" t="s">
        <v>4506</v>
      </c>
      <c r="U88" s="168">
        <v>166.6</v>
      </c>
      <c r="V88" s="168">
        <f t="shared" si="24"/>
        <v>207.60094465753426</v>
      </c>
      <c r="W88" s="32">
        <f t="shared" si="25"/>
        <v>211.75296355068494</v>
      </c>
      <c r="X88" s="32">
        <f t="shared" si="26"/>
        <v>215.90498244383562</v>
      </c>
      <c r="Z88" s="115"/>
      <c r="AA88" s="115"/>
      <c r="AB88" s="115"/>
      <c r="AC88" s="128"/>
      <c r="AD88" s="115"/>
      <c r="AE88" s="115"/>
      <c r="AF88" s="115"/>
      <c r="AH88" s="20">
        <v>68</v>
      </c>
      <c r="AI88" s="117" t="s">
        <v>4429</v>
      </c>
      <c r="AJ88" s="117">
        <v>-907489</v>
      </c>
      <c r="AK88" s="20">
        <v>0</v>
      </c>
      <c r="AL88" s="99">
        <f>AL89+AK88</f>
        <v>334</v>
      </c>
      <c r="AM88" s="117">
        <f t="shared" si="11"/>
        <v>-303101326</v>
      </c>
      <c r="AN88" s="20"/>
      <c r="AP88" t="s">
        <v>25</v>
      </c>
      <c r="AV88" t="s">
        <v>25</v>
      </c>
    </row>
    <row r="89" spans="4:52">
      <c r="D89" s="32" t="s">
        <v>317</v>
      </c>
      <c r="E89" s="1">
        <v>50000</v>
      </c>
      <c r="K89" s="96"/>
      <c r="M89" t="s">
        <v>4523</v>
      </c>
      <c r="Q89" s="169">
        <v>168846</v>
      </c>
      <c r="R89" s="168" t="s">
        <v>3688</v>
      </c>
      <c r="S89" s="197">
        <f>S88-30</f>
        <v>271</v>
      </c>
      <c r="T89" s="189" t="s">
        <v>4603</v>
      </c>
      <c r="U89" s="168">
        <v>172.2</v>
      </c>
      <c r="V89" s="168">
        <f t="shared" si="24"/>
        <v>210.6161687671233</v>
      </c>
      <c r="W89" s="32">
        <f t="shared" si="25"/>
        <v>214.82849214246576</v>
      </c>
      <c r="X89" s="32">
        <f t="shared" si="26"/>
        <v>219.04081551780823</v>
      </c>
      <c r="Z89" s="115"/>
      <c r="AA89" s="115"/>
      <c r="AB89" s="115"/>
      <c r="AC89" s="115"/>
      <c r="AD89" s="115"/>
      <c r="AE89" s="115"/>
      <c r="AF89" s="115"/>
      <c r="AG89" s="115"/>
      <c r="AH89" s="20">
        <v>69</v>
      </c>
      <c r="AI89" s="117" t="s">
        <v>4429</v>
      </c>
      <c r="AJ89" s="117">
        <v>2450000</v>
      </c>
      <c r="AK89" s="20">
        <v>1</v>
      </c>
      <c r="AL89" s="99">
        <f t="shared" si="22"/>
        <v>334</v>
      </c>
      <c r="AM89" s="117">
        <f t="shared" si="11"/>
        <v>818300000</v>
      </c>
      <c r="AN89" s="20" t="s">
        <v>4467</v>
      </c>
      <c r="AQ89" t="s">
        <v>25</v>
      </c>
      <c r="AR89" t="s">
        <v>25</v>
      </c>
    </row>
    <row r="90" spans="4:52">
      <c r="D90" s="32" t="s">
        <v>327</v>
      </c>
      <c r="E90" s="1">
        <v>150000</v>
      </c>
      <c r="J90">
        <v>395</v>
      </c>
      <c r="K90" s="96"/>
      <c r="M90" t="s">
        <v>4524</v>
      </c>
      <c r="Q90" s="169">
        <v>19918023</v>
      </c>
      <c r="R90" s="5" t="s">
        <v>4854</v>
      </c>
      <c r="S90" s="197">
        <f>S89-75</f>
        <v>196</v>
      </c>
      <c r="T90" s="189" t="s">
        <v>4856</v>
      </c>
      <c r="U90" s="213">
        <v>183</v>
      </c>
      <c r="V90" s="213">
        <f t="shared" si="24"/>
        <v>213.29677808219179</v>
      </c>
      <c r="W90" s="32">
        <f t="shared" si="25"/>
        <v>217.56271364383562</v>
      </c>
      <c r="X90" s="32">
        <f t="shared" si="26"/>
        <v>221.82864920547948</v>
      </c>
      <c r="Z90" s="115"/>
      <c r="AA90" s="115"/>
      <c r="AB90" s="115"/>
      <c r="AC90" s="115"/>
      <c r="AD90" s="115"/>
      <c r="AE90"/>
      <c r="AG90" s="115"/>
      <c r="AH90" s="20">
        <v>70</v>
      </c>
      <c r="AI90" s="117" t="s">
        <v>4469</v>
      </c>
      <c r="AJ90" s="117">
        <v>1500000</v>
      </c>
      <c r="AK90" s="20">
        <v>1</v>
      </c>
      <c r="AL90" s="99">
        <f t="shared" si="22"/>
        <v>333</v>
      </c>
      <c r="AM90" s="117">
        <f t="shared" si="11"/>
        <v>499500000</v>
      </c>
      <c r="AN90" s="20"/>
      <c r="AP90" t="s">
        <v>25</v>
      </c>
      <c r="AU90" s="96" t="s">
        <v>25</v>
      </c>
    </row>
    <row r="91" spans="4:52">
      <c r="D91" s="32" t="s">
        <v>318</v>
      </c>
      <c r="E91" s="1">
        <v>15000</v>
      </c>
      <c r="F91" s="96"/>
      <c r="G91" s="96"/>
      <c r="H91" s="96"/>
      <c r="I91" s="96"/>
      <c r="J91" s="96"/>
      <c r="K91" s="96"/>
      <c r="L91" s="96"/>
      <c r="M91" s="96"/>
      <c r="N91" s="96"/>
      <c r="Q91" s="169">
        <v>1200301</v>
      </c>
      <c r="R91" s="19" t="s">
        <v>4941</v>
      </c>
      <c r="S91" s="197">
        <f>S90-34</f>
        <v>162</v>
      </c>
      <c r="T91" s="189" t="s">
        <v>4943</v>
      </c>
      <c r="U91" s="213">
        <v>218.5</v>
      </c>
      <c r="V91" s="213">
        <f t="shared" si="24"/>
        <v>248.97506301369867</v>
      </c>
      <c r="W91" s="32">
        <f t="shared" si="25"/>
        <v>253.95456427397266</v>
      </c>
      <c r="X91" s="32">
        <f t="shared" si="26"/>
        <v>258.93406553424666</v>
      </c>
      <c r="Z91" s="115"/>
      <c r="AA91" s="115"/>
      <c r="AE91"/>
      <c r="AG91" s="96"/>
      <c r="AH91" s="20">
        <v>71</v>
      </c>
      <c r="AI91" s="117" t="s">
        <v>4475</v>
      </c>
      <c r="AJ91" s="117">
        <v>2648000</v>
      </c>
      <c r="AK91" s="20">
        <v>1</v>
      </c>
      <c r="AL91" s="99">
        <f t="shared" si="22"/>
        <v>332</v>
      </c>
      <c r="AM91" s="117">
        <f t="shared" si="11"/>
        <v>879136000</v>
      </c>
      <c r="AN91" s="20" t="s">
        <v>4476</v>
      </c>
      <c r="AU91" s="96" t="s">
        <v>25</v>
      </c>
    </row>
    <row r="92" spans="4:52">
      <c r="D92" s="32" t="s">
        <v>319</v>
      </c>
      <c r="E92" s="1">
        <v>20000</v>
      </c>
      <c r="F92" s="96"/>
      <c r="G92" s="96"/>
      <c r="H92" s="96"/>
      <c r="I92" s="96"/>
      <c r="J92" s="96"/>
      <c r="K92" s="96"/>
      <c r="L92" s="96"/>
      <c r="M92" s="96"/>
      <c r="N92" s="96"/>
      <c r="Q92" s="169">
        <v>6135206</v>
      </c>
      <c r="R92" s="19" t="s">
        <v>4970</v>
      </c>
      <c r="S92" s="197">
        <f>S91-16</f>
        <v>146</v>
      </c>
      <c r="T92" s="189" t="s">
        <v>4971</v>
      </c>
      <c r="U92" s="213">
        <v>196.2</v>
      </c>
      <c r="V92" s="213">
        <f t="shared" si="24"/>
        <v>221.15664000000004</v>
      </c>
      <c r="W92" s="32">
        <f t="shared" si="25"/>
        <v>225.57977280000003</v>
      </c>
      <c r="X92" s="32">
        <f t="shared" si="26"/>
        <v>230.00290560000005</v>
      </c>
      <c r="Z92" s="115"/>
      <c r="AA92" s="115"/>
      <c r="AE92"/>
      <c r="AG92" s="96"/>
      <c r="AH92" s="20">
        <v>72</v>
      </c>
      <c r="AI92" s="117" t="s">
        <v>4223</v>
      </c>
      <c r="AJ92" s="117">
        <v>615000</v>
      </c>
      <c r="AK92" s="20">
        <v>4</v>
      </c>
      <c r="AL92" s="99">
        <f t="shared" si="22"/>
        <v>331</v>
      </c>
      <c r="AM92" s="117">
        <f t="shared" si="11"/>
        <v>203565000</v>
      </c>
      <c r="AN92" s="20"/>
      <c r="AV92" t="s">
        <v>25</v>
      </c>
    </row>
    <row r="93" spans="4:52">
      <c r="D93" s="32" t="s">
        <v>320</v>
      </c>
      <c r="E93" s="1">
        <v>40000</v>
      </c>
      <c r="F93" s="96"/>
      <c r="G93" s="96"/>
      <c r="H93" s="96"/>
      <c r="I93" s="96"/>
      <c r="J93" s="96"/>
      <c r="K93" s="96"/>
      <c r="Q93" s="169">
        <v>104578</v>
      </c>
      <c r="R93" s="19" t="s">
        <v>4992</v>
      </c>
      <c r="S93" s="197">
        <f>S92-9</f>
        <v>137</v>
      </c>
      <c r="T93" s="189" t="s">
        <v>4993</v>
      </c>
      <c r="U93" s="213">
        <v>199.8</v>
      </c>
      <c r="V93" s="213">
        <f t="shared" si="24"/>
        <v>223.83511890410963</v>
      </c>
      <c r="W93" s="32">
        <f t="shared" si="25"/>
        <v>228.31182128219183</v>
      </c>
      <c r="X93" s="32">
        <f t="shared" si="26"/>
        <v>232.78852366027402</v>
      </c>
      <c r="Z93" s="115"/>
      <c r="AA93" s="115"/>
      <c r="AE93"/>
      <c r="AG93" s="96"/>
      <c r="AH93" s="20">
        <v>73</v>
      </c>
      <c r="AI93" s="117" t="s">
        <v>4486</v>
      </c>
      <c r="AJ93" s="117">
        <v>14000000</v>
      </c>
      <c r="AK93" s="20">
        <v>2</v>
      </c>
      <c r="AL93" s="99">
        <f>AL94+AK93</f>
        <v>327</v>
      </c>
      <c r="AM93" s="117">
        <f t="shared" si="11"/>
        <v>4578000000</v>
      </c>
      <c r="AN93" s="20"/>
    </row>
    <row r="94" spans="4:52">
      <c r="D94" s="32" t="s">
        <v>322</v>
      </c>
      <c r="E94" s="1">
        <v>150000</v>
      </c>
      <c r="F94" s="96"/>
      <c r="G94" s="96"/>
      <c r="H94" s="96"/>
      <c r="I94" s="96"/>
      <c r="J94" s="96"/>
      <c r="K94" s="96"/>
      <c r="Q94" s="169">
        <v>119253</v>
      </c>
      <c r="R94" s="19" t="s">
        <v>4997</v>
      </c>
      <c r="S94" s="197">
        <f>S93-3</f>
        <v>134</v>
      </c>
      <c r="T94" s="189" t="s">
        <v>4998</v>
      </c>
      <c r="U94" s="213">
        <v>199.5</v>
      </c>
      <c r="V94" s="213">
        <f t="shared" si="24"/>
        <v>223.03990684931509</v>
      </c>
      <c r="W94" s="32">
        <f t="shared" si="25"/>
        <v>227.5007049863014</v>
      </c>
      <c r="X94" s="32">
        <f t="shared" si="26"/>
        <v>231.96150312328771</v>
      </c>
      <c r="Y94">
        <v>961521</v>
      </c>
      <c r="AH94" s="20">
        <v>74</v>
      </c>
      <c r="AI94" s="117" t="s">
        <v>4490</v>
      </c>
      <c r="AJ94" s="117">
        <v>1313000</v>
      </c>
      <c r="AK94" s="20">
        <v>0</v>
      </c>
      <c r="AL94" s="99">
        <f>AL95+AK94</f>
        <v>325</v>
      </c>
      <c r="AM94" s="117">
        <f t="shared" si="11"/>
        <v>426725000</v>
      </c>
      <c r="AN94" s="20"/>
      <c r="AQ94" t="s">
        <v>25</v>
      </c>
    </row>
    <row r="95" spans="4:52">
      <c r="D95" s="32" t="s">
        <v>324</v>
      </c>
      <c r="E95" s="1">
        <v>75000</v>
      </c>
      <c r="F95" s="96"/>
      <c r="G95" s="96"/>
      <c r="H95" s="96"/>
      <c r="I95" s="96"/>
      <c r="J95" s="96"/>
      <c r="K95" s="96"/>
      <c r="L95" t="s">
        <v>25</v>
      </c>
      <c r="P95" s="115"/>
      <c r="Q95" s="169">
        <v>30004376</v>
      </c>
      <c r="R95" s="19" t="s">
        <v>5016</v>
      </c>
      <c r="S95" s="197">
        <f>S94-9</f>
        <v>125</v>
      </c>
      <c r="T95" s="189" t="s">
        <v>5017</v>
      </c>
      <c r="U95" s="213">
        <v>200</v>
      </c>
      <c r="V95" s="213">
        <f t="shared" si="24"/>
        <v>222.21808219178084</v>
      </c>
      <c r="W95" s="32">
        <f t="shared" si="25"/>
        <v>226.66244383561647</v>
      </c>
      <c r="X95" s="32">
        <f t="shared" si="26"/>
        <v>231.10680547945208</v>
      </c>
      <c r="Y95">
        <v>44349</v>
      </c>
      <c r="AH95" s="99">
        <v>75</v>
      </c>
      <c r="AI95" s="113" t="s">
        <v>4490</v>
      </c>
      <c r="AJ95" s="113">
        <v>2269000</v>
      </c>
      <c r="AK95" s="99">
        <v>1</v>
      </c>
      <c r="AL95" s="99">
        <f t="shared" ref="AL95:AL120" si="27">AL96+AK95</f>
        <v>325</v>
      </c>
      <c r="AM95" s="117">
        <f t="shared" si="11"/>
        <v>737425000</v>
      </c>
      <c r="AN95" s="99"/>
    </row>
    <row r="96" spans="4:52">
      <c r="D96" s="32" t="s">
        <v>314</v>
      </c>
      <c r="E96" s="1">
        <v>140000</v>
      </c>
      <c r="F96" s="96"/>
      <c r="G96" s="96"/>
      <c r="H96" s="96"/>
      <c r="I96" s="96"/>
      <c r="J96" s="96"/>
      <c r="K96" s="96" t="s">
        <v>25</v>
      </c>
      <c r="P96" s="128"/>
      <c r="Q96" s="169">
        <v>119980</v>
      </c>
      <c r="R96" s="19" t="s">
        <v>5044</v>
      </c>
      <c r="S96" s="197">
        <f>S95-8</f>
        <v>117</v>
      </c>
      <c r="T96" s="189" t="s">
        <v>5047</v>
      </c>
      <c r="U96" s="213">
        <v>211</v>
      </c>
      <c r="V96" s="213">
        <f t="shared" si="24"/>
        <v>233.14517260273973</v>
      </c>
      <c r="W96" s="32">
        <f t="shared" si="25"/>
        <v>237.80807605479453</v>
      </c>
      <c r="X96" s="32">
        <f t="shared" si="26"/>
        <v>242.47097950684932</v>
      </c>
      <c r="Y96">
        <v>9625</v>
      </c>
      <c r="AH96" s="99">
        <v>76</v>
      </c>
      <c r="AI96" s="113" t="s">
        <v>4224</v>
      </c>
      <c r="AJ96" s="113">
        <v>750000</v>
      </c>
      <c r="AK96" s="99">
        <v>4</v>
      </c>
      <c r="AL96" s="99">
        <f t="shared" si="27"/>
        <v>324</v>
      </c>
      <c r="AM96" s="117">
        <f t="shared" si="11"/>
        <v>243000000</v>
      </c>
      <c r="AN96" s="99"/>
      <c r="AQ96" t="s">
        <v>25</v>
      </c>
    </row>
    <row r="97" spans="4:47">
      <c r="D97" s="2" t="s">
        <v>478</v>
      </c>
      <c r="E97" s="3">
        <v>1083333</v>
      </c>
      <c r="F97" s="96"/>
      <c r="G97" s="96"/>
      <c r="H97" s="96"/>
      <c r="I97" s="96"/>
      <c r="J97" s="96" t="s">
        <v>25</v>
      </c>
      <c r="K97" s="96" t="s">
        <v>25</v>
      </c>
      <c r="P97" s="128"/>
      <c r="Q97" s="169">
        <v>106716</v>
      </c>
      <c r="R97" s="19" t="s">
        <v>5063</v>
      </c>
      <c r="S97" s="197">
        <f>S96-6</f>
        <v>111</v>
      </c>
      <c r="T97" s="189" t="s">
        <v>5065</v>
      </c>
      <c r="U97" s="213">
        <v>213.3</v>
      </c>
      <c r="V97" s="213">
        <f t="shared" si="24"/>
        <v>234.70480109589045</v>
      </c>
      <c r="W97" s="32">
        <f t="shared" si="25"/>
        <v>239.39889711780825</v>
      </c>
      <c r="X97" s="32">
        <f t="shared" si="26"/>
        <v>244.09299313972608</v>
      </c>
      <c r="Y97">
        <v>6980</v>
      </c>
      <c r="AH97" s="99">
        <v>77</v>
      </c>
      <c r="AI97" s="113" t="s">
        <v>4497</v>
      </c>
      <c r="AJ97" s="113">
        <v>1900000</v>
      </c>
      <c r="AK97" s="99">
        <v>3</v>
      </c>
      <c r="AL97" s="99">
        <f t="shared" si="27"/>
        <v>320</v>
      </c>
      <c r="AM97" s="117">
        <f t="shared" si="11"/>
        <v>608000000</v>
      </c>
      <c r="AN97" s="99"/>
    </row>
    <row r="98" spans="4:47">
      <c r="D98" s="2"/>
      <c r="E98" s="3"/>
      <c r="F98" s="96"/>
      <c r="G98" s="96"/>
      <c r="H98" s="96"/>
      <c r="I98" s="96"/>
      <c r="J98" s="96" t="s">
        <v>25</v>
      </c>
      <c r="K98" s="96" t="s">
        <v>25</v>
      </c>
      <c r="L98" s="96"/>
      <c r="M98" s="96"/>
      <c r="N98" s="96"/>
      <c r="P98" s="115"/>
      <c r="Q98" s="169">
        <v>1324444</v>
      </c>
      <c r="R98" s="19" t="s">
        <v>5063</v>
      </c>
      <c r="S98" s="197">
        <f>S97</f>
        <v>111</v>
      </c>
      <c r="T98" s="189" t="s">
        <v>5067</v>
      </c>
      <c r="U98" s="213">
        <v>821.9</v>
      </c>
      <c r="V98" s="213">
        <f t="shared" si="24"/>
        <v>904.37822794520559</v>
      </c>
      <c r="W98" s="32">
        <f t="shared" si="25"/>
        <v>922.46579250410969</v>
      </c>
      <c r="X98" s="32">
        <f t="shared" si="26"/>
        <v>940.55335706301389</v>
      </c>
      <c r="Y98">
        <v>6963</v>
      </c>
      <c r="AH98" s="99">
        <v>78</v>
      </c>
      <c r="AI98" s="113" t="s">
        <v>4510</v>
      </c>
      <c r="AJ98" s="113">
        <v>6400000</v>
      </c>
      <c r="AK98" s="99">
        <v>1</v>
      </c>
      <c r="AL98" s="99">
        <f t="shared" si="27"/>
        <v>317</v>
      </c>
      <c r="AM98" s="117">
        <f t="shared" si="11"/>
        <v>2028800000</v>
      </c>
      <c r="AN98" s="99"/>
      <c r="AT98" s="96" t="s">
        <v>25</v>
      </c>
    </row>
    <row r="99" spans="4:47">
      <c r="D99" s="2"/>
      <c r="E99" s="3"/>
      <c r="F99" s="96"/>
      <c r="G99" s="96"/>
      <c r="H99" s="96"/>
      <c r="I99" s="96"/>
      <c r="J99" s="96" t="s">
        <v>25</v>
      </c>
      <c r="K99" s="96" t="s">
        <v>25</v>
      </c>
      <c r="L99" s="96"/>
      <c r="M99" s="96"/>
      <c r="N99" s="96"/>
      <c r="Q99" s="169">
        <v>240923</v>
      </c>
      <c r="R99" s="19" t="s">
        <v>5093</v>
      </c>
      <c r="S99" s="197">
        <f>S98-19</f>
        <v>92</v>
      </c>
      <c r="T99" s="189" t="s">
        <v>5095</v>
      </c>
      <c r="U99" s="213">
        <v>691.1</v>
      </c>
      <c r="V99" s="213">
        <f t="shared" si="24"/>
        <v>750.3793391780822</v>
      </c>
      <c r="W99" s="32">
        <f t="shared" si="25"/>
        <v>765.3869259616439</v>
      </c>
      <c r="X99" s="32">
        <f t="shared" si="26"/>
        <v>780.39451274520547</v>
      </c>
      <c r="Y99" s="96">
        <v>0</v>
      </c>
      <c r="AH99" s="99">
        <v>79</v>
      </c>
      <c r="AI99" s="113" t="s">
        <v>4508</v>
      </c>
      <c r="AJ99" s="113">
        <v>5000</v>
      </c>
      <c r="AK99" s="99">
        <v>5</v>
      </c>
      <c r="AL99" s="99">
        <f t="shared" si="27"/>
        <v>316</v>
      </c>
      <c r="AM99" s="117">
        <f t="shared" si="11"/>
        <v>1580000</v>
      </c>
      <c r="AN99" s="99"/>
      <c r="AP99" t="s">
        <v>25</v>
      </c>
    </row>
    <row r="100" spans="4:47">
      <c r="D100" s="2" t="s">
        <v>6</v>
      </c>
      <c r="E100" s="3">
        <f>SUM(E77:E98)</f>
        <v>3383333</v>
      </c>
      <c r="F100" s="96"/>
      <c r="G100" s="96"/>
      <c r="H100" s="96"/>
      <c r="I100" s="96"/>
      <c r="J100" s="96"/>
      <c r="K100" s="96"/>
      <c r="L100" s="96"/>
      <c r="M100" s="96"/>
      <c r="N100" s="96"/>
      <c r="Q100" s="169">
        <v>1408805</v>
      </c>
      <c r="R100" s="19" t="s">
        <v>5100</v>
      </c>
      <c r="S100" s="197">
        <f>S99-2</f>
        <v>90</v>
      </c>
      <c r="T100" s="189" t="s">
        <v>5102</v>
      </c>
      <c r="U100" s="213">
        <v>235.2</v>
      </c>
      <c r="V100" s="213">
        <f t="shared" si="24"/>
        <v>255.01350575342471</v>
      </c>
      <c r="W100" s="32">
        <f t="shared" si="25"/>
        <v>260.11377586849324</v>
      </c>
      <c r="X100" s="32">
        <f t="shared" si="26"/>
        <v>265.21404598356173</v>
      </c>
      <c r="Y100" s="96">
        <v>9904</v>
      </c>
      <c r="AH100" s="99">
        <v>80</v>
      </c>
      <c r="AI100" s="113" t="s">
        <v>4540</v>
      </c>
      <c r="AJ100" s="113">
        <v>-1750148</v>
      </c>
      <c r="AK100" s="99">
        <v>1</v>
      </c>
      <c r="AL100" s="99">
        <f t="shared" si="27"/>
        <v>311</v>
      </c>
      <c r="AM100" s="117">
        <f t="shared" si="11"/>
        <v>-544296028</v>
      </c>
      <c r="AN100" s="99"/>
    </row>
    <row r="101" spans="4:47">
      <c r="D101" s="2" t="s">
        <v>328</v>
      </c>
      <c r="E101" s="3">
        <f>E100/30</f>
        <v>112777.76666666666</v>
      </c>
      <c r="F101" s="96"/>
      <c r="G101" s="96"/>
      <c r="H101" s="96"/>
      <c r="I101" s="96"/>
      <c r="J101" s="96" t="s">
        <v>25</v>
      </c>
      <c r="K101" t="s">
        <v>25</v>
      </c>
      <c r="L101" s="96"/>
      <c r="M101" s="96"/>
      <c r="N101" s="96"/>
      <c r="Q101" s="169">
        <v>4507053</v>
      </c>
      <c r="R101" s="19" t="s">
        <v>5104</v>
      </c>
      <c r="S101" s="197">
        <f>S100-1</f>
        <v>89</v>
      </c>
      <c r="T101" s="189" t="s">
        <v>5105</v>
      </c>
      <c r="U101" s="213">
        <v>225</v>
      </c>
      <c r="V101" s="213">
        <f t="shared" si="24"/>
        <v>243.78164383561645</v>
      </c>
      <c r="W101" s="32">
        <f t="shared" si="25"/>
        <v>248.65727671232878</v>
      </c>
      <c r="X101" s="32">
        <f t="shared" si="26"/>
        <v>253.53290958904111</v>
      </c>
      <c r="Y101" s="96">
        <v>0</v>
      </c>
      <c r="AH101" s="99">
        <v>81</v>
      </c>
      <c r="AI101" s="113" t="s">
        <v>4543</v>
      </c>
      <c r="AJ101" s="113">
        <v>400000</v>
      </c>
      <c r="AK101" s="99">
        <v>0</v>
      </c>
      <c r="AL101" s="99">
        <f t="shared" si="27"/>
        <v>310</v>
      </c>
      <c r="AM101" s="117">
        <f t="shared" si="11"/>
        <v>124000000</v>
      </c>
      <c r="AN101" s="99"/>
    </row>
    <row r="102" spans="4:47">
      <c r="J102" t="s">
        <v>25</v>
      </c>
      <c r="Q102" s="169">
        <v>1927152</v>
      </c>
      <c r="R102" s="19" t="s">
        <v>5098</v>
      </c>
      <c r="S102" s="197">
        <f>S101-1</f>
        <v>88</v>
      </c>
      <c r="T102" s="189" t="s">
        <v>5106</v>
      </c>
      <c r="U102" s="213">
        <v>232.6</v>
      </c>
      <c r="V102" s="213">
        <f t="shared" si="24"/>
        <v>251.83761315068497</v>
      </c>
      <c r="W102" s="32">
        <f t="shared" si="25"/>
        <v>256.87436541369868</v>
      </c>
      <c r="X102" s="32">
        <f t="shared" si="26"/>
        <v>261.91111767671237</v>
      </c>
      <c r="Y102" s="96">
        <v>0</v>
      </c>
      <c r="AH102" s="99">
        <v>82</v>
      </c>
      <c r="AI102" s="113" t="s">
        <v>4543</v>
      </c>
      <c r="AJ102" s="113">
        <v>-2105421</v>
      </c>
      <c r="AK102" s="99">
        <v>1</v>
      </c>
      <c r="AL102" s="99">
        <f t="shared" si="27"/>
        <v>310</v>
      </c>
      <c r="AM102" s="117">
        <f t="shared" si="11"/>
        <v>-652680510</v>
      </c>
      <c r="AN102" s="99"/>
      <c r="AO102" t="s">
        <v>25</v>
      </c>
    </row>
    <row r="103" spans="4:47">
      <c r="Q103" s="169">
        <v>40486</v>
      </c>
      <c r="R103" s="19" t="s">
        <v>5123</v>
      </c>
      <c r="S103" s="197">
        <f>S102-13</f>
        <v>75</v>
      </c>
      <c r="T103" s="189" t="s">
        <v>5161</v>
      </c>
      <c r="U103" s="213">
        <v>707</v>
      </c>
      <c r="V103" s="213">
        <f t="shared" si="24"/>
        <v>758.42311232876727</v>
      </c>
      <c r="W103" s="32">
        <f t="shared" si="25"/>
        <v>773.59157457534263</v>
      </c>
      <c r="X103" s="32">
        <f t="shared" si="26"/>
        <v>788.76003682191799</v>
      </c>
      <c r="Y103" s="96">
        <v>10000</v>
      </c>
      <c r="AH103" s="99">
        <v>83</v>
      </c>
      <c r="AI103" s="113" t="s">
        <v>4546</v>
      </c>
      <c r="AJ103" s="113">
        <v>-5527618</v>
      </c>
      <c r="AK103" s="99">
        <v>0</v>
      </c>
      <c r="AL103" s="99">
        <f t="shared" si="27"/>
        <v>309</v>
      </c>
      <c r="AM103" s="117">
        <f t="shared" si="11"/>
        <v>-1708033962</v>
      </c>
      <c r="AN103" s="99"/>
    </row>
    <row r="104" spans="4:47">
      <c r="F104" s="213" t="s">
        <v>4675</v>
      </c>
      <c r="G104" s="213" t="s">
        <v>939</v>
      </c>
      <c r="H104" s="213" t="s">
        <v>4663</v>
      </c>
      <c r="I104" s="213" t="s">
        <v>4662</v>
      </c>
      <c r="J104" s="32" t="s">
        <v>4525</v>
      </c>
      <c r="K104" s="213" t="s">
        <v>4655</v>
      </c>
      <c r="L104" s="32" t="s">
        <v>4657</v>
      </c>
      <c r="M104" s="32" t="s">
        <v>4631</v>
      </c>
      <c r="N104" s="213" t="s">
        <v>4632</v>
      </c>
      <c r="Q104" s="169">
        <v>160558</v>
      </c>
      <c r="R104" s="19" t="s">
        <v>5195</v>
      </c>
      <c r="S104" s="197">
        <f>S103-36</f>
        <v>39</v>
      </c>
      <c r="T104" s="189" t="s">
        <v>5197</v>
      </c>
      <c r="U104" s="213">
        <v>4319.3999999999996</v>
      </c>
      <c r="V104" s="213">
        <f t="shared" si="24"/>
        <v>4514.2818608219177</v>
      </c>
      <c r="W104" s="32">
        <f t="shared" si="25"/>
        <v>4604.5674980383565</v>
      </c>
      <c r="X104" s="32">
        <f t="shared" si="26"/>
        <v>4694.8531352547943</v>
      </c>
      <c r="Y104" s="96">
        <v>5664</v>
      </c>
      <c r="AH104" s="99">
        <v>84</v>
      </c>
      <c r="AI104" s="113" t="s">
        <v>4546</v>
      </c>
      <c r="AJ104" s="113">
        <v>3900000</v>
      </c>
      <c r="AK104" s="99">
        <v>3</v>
      </c>
      <c r="AL104" s="99">
        <f t="shared" si="27"/>
        <v>309</v>
      </c>
      <c r="AM104" s="117">
        <f t="shared" si="11"/>
        <v>1205100000</v>
      </c>
      <c r="AN104" s="99"/>
    </row>
    <row r="105" spans="4:47">
      <c r="F105" s="199">
        <f>$L$113/G105</f>
        <v>13274.336283185839</v>
      </c>
      <c r="G105" s="199">
        <f>P50</f>
        <v>305.10000000000002</v>
      </c>
      <c r="H105" s="199" t="s">
        <v>4773</v>
      </c>
      <c r="I105" s="199" t="s">
        <v>4772</v>
      </c>
      <c r="J105" s="214" t="s">
        <v>4234</v>
      </c>
      <c r="K105" s="199">
        <v>175</v>
      </c>
      <c r="L105" s="215">
        <f t="shared" ref="L105:L110" si="28">K105*$L$113</f>
        <v>708750000</v>
      </c>
      <c r="M105" s="215">
        <f>N21+N33+N50</f>
        <v>1530834368.4000001</v>
      </c>
      <c r="N105" s="183">
        <f t="shared" ref="N105:N109" si="29">L105-M105</f>
        <v>-822084368.4000001</v>
      </c>
      <c r="Q105" s="169">
        <v>123799</v>
      </c>
      <c r="R105" s="19" t="s">
        <v>5195</v>
      </c>
      <c r="S105" s="197">
        <f>S104</f>
        <v>39</v>
      </c>
      <c r="T105" s="189" t="s">
        <v>5198</v>
      </c>
      <c r="U105" s="213">
        <v>790</v>
      </c>
      <c r="V105" s="213">
        <f t="shared" si="24"/>
        <v>825.64306849315074</v>
      </c>
      <c r="W105" s="32">
        <f t="shared" si="25"/>
        <v>842.15592986301374</v>
      </c>
      <c r="X105" s="32">
        <f t="shared" si="26"/>
        <v>858.66879123287674</v>
      </c>
      <c r="Y105" s="96">
        <v>10000</v>
      </c>
      <c r="AH105" s="99">
        <v>85</v>
      </c>
      <c r="AI105" s="113" t="s">
        <v>4547</v>
      </c>
      <c r="AJ105" s="113">
        <v>-3969754</v>
      </c>
      <c r="AK105" s="99">
        <v>1</v>
      </c>
      <c r="AL105" s="99">
        <f t="shared" si="27"/>
        <v>306</v>
      </c>
      <c r="AM105" s="117">
        <f t="shared" si="11"/>
        <v>-1214744724</v>
      </c>
      <c r="AN105" s="99"/>
    </row>
    <row r="106" spans="4:47">
      <c r="F106" s="213">
        <v>0</v>
      </c>
      <c r="G106" s="213">
        <v>0</v>
      </c>
      <c r="H106" s="213" t="s">
        <v>4945</v>
      </c>
      <c r="I106" s="213" t="s">
        <v>4946</v>
      </c>
      <c r="J106" s="32" t="s">
        <v>4384</v>
      </c>
      <c r="K106" s="213">
        <v>0</v>
      </c>
      <c r="L106" s="1">
        <f t="shared" si="28"/>
        <v>0</v>
      </c>
      <c r="M106" s="1">
        <f>0</f>
        <v>0</v>
      </c>
      <c r="N106" s="113">
        <f t="shared" si="29"/>
        <v>0</v>
      </c>
      <c r="Q106" s="169">
        <v>108400</v>
      </c>
      <c r="R106" s="19" t="s">
        <v>5200</v>
      </c>
      <c r="S106" s="197">
        <f>S105-3</f>
        <v>36</v>
      </c>
      <c r="T106" s="189" t="s">
        <v>5201</v>
      </c>
      <c r="U106" s="213">
        <v>4316</v>
      </c>
      <c r="V106" s="213">
        <f t="shared" si="24"/>
        <v>4500.7957479452061</v>
      </c>
      <c r="W106" s="32">
        <f t="shared" si="25"/>
        <v>4590.8116629041106</v>
      </c>
      <c r="X106" s="32">
        <f t="shared" si="26"/>
        <v>4680.8275778630141</v>
      </c>
      <c r="Y106" s="96">
        <v>8695</v>
      </c>
      <c r="AH106" s="99">
        <v>86</v>
      </c>
      <c r="AI106" s="113" t="s">
        <v>4558</v>
      </c>
      <c r="AJ106" s="113">
        <v>-25574455</v>
      </c>
      <c r="AK106" s="99">
        <v>0</v>
      </c>
      <c r="AL106" s="99">
        <f t="shared" si="27"/>
        <v>305</v>
      </c>
      <c r="AM106" s="117">
        <f t="shared" si="11"/>
        <v>-7800208775</v>
      </c>
      <c r="AN106" s="99"/>
      <c r="AP106" t="s">
        <v>25</v>
      </c>
    </row>
    <row r="107" spans="4:47">
      <c r="F107" s="199">
        <v>0</v>
      </c>
      <c r="G107" s="199">
        <v>0</v>
      </c>
      <c r="H107" s="199" t="s">
        <v>5099</v>
      </c>
      <c r="I107" s="199" t="s">
        <v>5098</v>
      </c>
      <c r="J107" s="214" t="s">
        <v>4380</v>
      </c>
      <c r="K107" s="199">
        <v>0</v>
      </c>
      <c r="L107" s="215">
        <f t="shared" si="28"/>
        <v>0</v>
      </c>
      <c r="M107" s="215">
        <f>0</f>
        <v>0</v>
      </c>
      <c r="N107" s="183">
        <f t="shared" si="29"/>
        <v>0</v>
      </c>
      <c r="Q107" s="169">
        <v>11503451</v>
      </c>
      <c r="R107" s="19" t="s">
        <v>5241</v>
      </c>
      <c r="S107" s="197">
        <f>S106-17</f>
        <v>19</v>
      </c>
      <c r="T107" s="189" t="s">
        <v>5242</v>
      </c>
      <c r="U107" s="213">
        <v>293.2</v>
      </c>
      <c r="V107" s="213">
        <f t="shared" si="24"/>
        <v>301.9301304109589</v>
      </c>
      <c r="W107" s="32">
        <f t="shared" si="25"/>
        <v>307.9687330191781</v>
      </c>
      <c r="X107" s="32">
        <f t="shared" si="26"/>
        <v>314.00733562739725</v>
      </c>
      <c r="Y107" s="96"/>
      <c r="AH107" s="99">
        <v>87</v>
      </c>
      <c r="AI107" s="113" t="s">
        <v>4558</v>
      </c>
      <c r="AJ107" s="113">
        <v>4000000</v>
      </c>
      <c r="AK107" s="99">
        <v>1</v>
      </c>
      <c r="AL107" s="99">
        <f t="shared" si="27"/>
        <v>305</v>
      </c>
      <c r="AM107" s="117">
        <f t="shared" si="11"/>
        <v>1220000000</v>
      </c>
      <c r="AN107" s="99"/>
    </row>
    <row r="108" spans="4:47">
      <c r="F108" s="213">
        <f>$L$113/G108</f>
        <v>5075.187969924812</v>
      </c>
      <c r="G108" s="213">
        <f>P47</f>
        <v>798</v>
      </c>
      <c r="H108" s="213" t="s">
        <v>4665</v>
      </c>
      <c r="I108" s="213" t="s">
        <v>4664</v>
      </c>
      <c r="J108" s="32" t="s">
        <v>4398</v>
      </c>
      <c r="K108" s="213">
        <v>43</v>
      </c>
      <c r="L108" s="1">
        <f t="shared" si="28"/>
        <v>174150000</v>
      </c>
      <c r="M108" s="1">
        <f>N47+N26</f>
        <v>199135314</v>
      </c>
      <c r="N108" s="113">
        <f t="shared" si="29"/>
        <v>-24985314</v>
      </c>
      <c r="Q108" s="169">
        <v>6153126</v>
      </c>
      <c r="R108" s="19" t="s">
        <v>5275</v>
      </c>
      <c r="S108" s="197">
        <f>S107-4</f>
        <v>15</v>
      </c>
      <c r="T108" s="189" t="s">
        <v>5277</v>
      </c>
      <c r="U108" s="213">
        <v>7469.9</v>
      </c>
      <c r="V108" s="213">
        <f t="shared" si="24"/>
        <v>7669.3974936986306</v>
      </c>
      <c r="W108" s="32">
        <f t="shared" si="25"/>
        <v>7822.7854435726031</v>
      </c>
      <c r="X108" s="32">
        <f t="shared" si="26"/>
        <v>7976.1733934465765</v>
      </c>
      <c r="Y108" s="96"/>
      <c r="AH108" s="99">
        <v>88</v>
      </c>
      <c r="AI108" s="113" t="s">
        <v>992</v>
      </c>
      <c r="AJ108" s="113">
        <v>-5000000</v>
      </c>
      <c r="AK108" s="99">
        <v>2</v>
      </c>
      <c r="AL108" s="99">
        <f t="shared" si="27"/>
        <v>304</v>
      </c>
      <c r="AM108" s="117">
        <f t="shared" si="11"/>
        <v>-1520000000</v>
      </c>
      <c r="AN108" s="99"/>
    </row>
    <row r="109" spans="4:47">
      <c r="F109" s="199"/>
      <c r="G109" s="199"/>
      <c r="H109" s="199"/>
      <c r="I109" s="199"/>
      <c r="J109" s="214" t="s">
        <v>4641</v>
      </c>
      <c r="K109" s="199">
        <v>1</v>
      </c>
      <c r="L109" s="215">
        <f t="shared" si="28"/>
        <v>4050000</v>
      </c>
      <c r="M109" s="215">
        <f>0</f>
        <v>0</v>
      </c>
      <c r="N109" s="183">
        <f t="shared" si="29"/>
        <v>4050000</v>
      </c>
      <c r="Q109" s="169">
        <v>1500533</v>
      </c>
      <c r="R109" s="19" t="s">
        <v>5280</v>
      </c>
      <c r="S109" s="197">
        <f>S108-1</f>
        <v>14</v>
      </c>
      <c r="T109" s="189" t="s">
        <v>5282</v>
      </c>
      <c r="U109" s="213">
        <v>7046</v>
      </c>
      <c r="V109" s="213">
        <f t="shared" si="24"/>
        <v>7228.7713095890422</v>
      </c>
      <c r="W109" s="32">
        <f t="shared" si="25"/>
        <v>7373.3467357808231</v>
      </c>
      <c r="X109" s="32">
        <f t="shared" si="26"/>
        <v>7517.922161972604</v>
      </c>
      <c r="Y109" s="96"/>
      <c r="AD109" s="96"/>
      <c r="AE109"/>
      <c r="AF109"/>
      <c r="AH109" s="99">
        <v>89</v>
      </c>
      <c r="AI109" s="113" t="s">
        <v>4563</v>
      </c>
      <c r="AJ109" s="113">
        <v>10000000</v>
      </c>
      <c r="AK109" s="99">
        <v>4</v>
      </c>
      <c r="AL109" s="99">
        <f t="shared" si="27"/>
        <v>302</v>
      </c>
      <c r="AM109" s="117">
        <f t="shared" si="11"/>
        <v>3020000000</v>
      </c>
      <c r="AN109" s="99"/>
    </row>
    <row r="110" spans="4:47">
      <c r="F110" s="191"/>
      <c r="G110" s="191"/>
      <c r="H110" s="191"/>
      <c r="I110" s="191"/>
      <c r="J110" s="257" t="s">
        <v>5380</v>
      </c>
      <c r="K110" s="191">
        <v>206</v>
      </c>
      <c r="L110" s="258">
        <f t="shared" si="28"/>
        <v>834300000</v>
      </c>
      <c r="M110" s="258">
        <v>0</v>
      </c>
      <c r="N110" s="86">
        <f>L110-M110</f>
        <v>834300000</v>
      </c>
      <c r="Q110" s="169">
        <v>360926</v>
      </c>
      <c r="R110" s="19" t="s">
        <v>5291</v>
      </c>
      <c r="S110" s="197">
        <f>S109-2</f>
        <v>12</v>
      </c>
      <c r="T110" s="189" t="s">
        <v>5294</v>
      </c>
      <c r="U110" s="213">
        <v>7045</v>
      </c>
      <c r="V110" s="213">
        <f t="shared" si="24"/>
        <v>7216.9366027397273</v>
      </c>
      <c r="W110" s="32">
        <f t="shared" si="25"/>
        <v>7361.2753347945218</v>
      </c>
      <c r="X110" s="32">
        <f t="shared" si="26"/>
        <v>7505.6140668493163</v>
      </c>
      <c r="AH110" s="99">
        <v>90</v>
      </c>
      <c r="AI110" s="113" t="s">
        <v>4565</v>
      </c>
      <c r="AJ110" s="113">
        <v>-5241937</v>
      </c>
      <c r="AK110" s="99">
        <v>0</v>
      </c>
      <c r="AL110" s="99">
        <f t="shared" si="27"/>
        <v>298</v>
      </c>
      <c r="AM110" s="117">
        <f t="shared" si="11"/>
        <v>-1562097226</v>
      </c>
      <c r="AN110" s="99"/>
    </row>
    <row r="111" spans="4:47">
      <c r="F111" s="213"/>
      <c r="G111" s="213"/>
      <c r="H111" s="213"/>
      <c r="I111" s="213"/>
      <c r="J111" s="32" t="s">
        <v>4747</v>
      </c>
      <c r="K111" s="213"/>
      <c r="L111" s="1"/>
      <c r="M111" s="1"/>
      <c r="N111" s="113">
        <v>30000000</v>
      </c>
      <c r="O111" t="s">
        <v>25</v>
      </c>
      <c r="Q111" s="169">
        <v>232964</v>
      </c>
      <c r="R111" s="19" t="s">
        <v>5312</v>
      </c>
      <c r="S111" s="197">
        <f>S110-7</f>
        <v>5</v>
      </c>
      <c r="T111" s="189" t="s">
        <v>5313</v>
      </c>
      <c r="U111" s="213">
        <v>295.39999999999998</v>
      </c>
      <c r="V111" s="213">
        <f t="shared" si="24"/>
        <v>301.02312109589042</v>
      </c>
      <c r="W111" s="32">
        <f t="shared" si="25"/>
        <v>307.04358351780826</v>
      </c>
      <c r="X111" s="32">
        <f t="shared" si="26"/>
        <v>313.06404593972604</v>
      </c>
      <c r="AH111" s="99">
        <v>91</v>
      </c>
      <c r="AI111" s="113" t="s">
        <v>4565</v>
      </c>
      <c r="AJ111" s="113">
        <v>21900000</v>
      </c>
      <c r="AK111" s="99">
        <v>2</v>
      </c>
      <c r="AL111" s="99">
        <f t="shared" si="27"/>
        <v>298</v>
      </c>
      <c r="AM111" s="117">
        <f t="shared" si="11"/>
        <v>6526200000</v>
      </c>
      <c r="AN111" s="99"/>
      <c r="AP111" t="s">
        <v>25</v>
      </c>
      <c r="AU111"/>
    </row>
    <row r="112" spans="4:47">
      <c r="F112" s="199"/>
      <c r="G112" s="199"/>
      <c r="H112" s="199"/>
      <c r="I112" s="199"/>
      <c r="J112" s="214" t="s">
        <v>5125</v>
      </c>
      <c r="K112" s="199">
        <f>SUM(K105:K110)</f>
        <v>425</v>
      </c>
      <c r="L112" s="215"/>
      <c r="M112" s="215"/>
      <c r="N112" s="183"/>
      <c r="Q112" s="169">
        <v>1005042</v>
      </c>
      <c r="R112" s="19" t="s">
        <v>5323</v>
      </c>
      <c r="S112" s="197">
        <f>S111-5</f>
        <v>0</v>
      </c>
      <c r="T112" s="189" t="s">
        <v>5325</v>
      </c>
      <c r="U112" s="213">
        <v>7250</v>
      </c>
      <c r="V112" s="213">
        <f t="shared" si="24"/>
        <v>7360.2000000000007</v>
      </c>
      <c r="W112" s="32">
        <f t="shared" si="25"/>
        <v>7507.4040000000005</v>
      </c>
      <c r="X112" s="32">
        <f t="shared" si="26"/>
        <v>7654.6080000000011</v>
      </c>
      <c r="Y112">
        <v>13000</v>
      </c>
      <c r="AH112" s="99">
        <v>92</v>
      </c>
      <c r="AI112" s="113" t="s">
        <v>4573</v>
      </c>
      <c r="AJ112" s="113">
        <v>-15000000</v>
      </c>
      <c r="AK112" s="99">
        <v>0</v>
      </c>
      <c r="AL112" s="99">
        <f t="shared" si="27"/>
        <v>296</v>
      </c>
      <c r="AM112" s="117">
        <f t="shared" si="11"/>
        <v>-4440000000</v>
      </c>
      <c r="AN112" s="99"/>
      <c r="AO112" t="s">
        <v>25</v>
      </c>
    </row>
    <row r="113" spans="6:46">
      <c r="F113" s="213"/>
      <c r="G113" s="213"/>
      <c r="H113" s="213" t="s">
        <v>25</v>
      </c>
      <c r="I113" s="213"/>
      <c r="J113" s="32"/>
      <c r="K113" s="213">
        <v>0</v>
      </c>
      <c r="L113" s="39">
        <f>10*P52</f>
        <v>4050000</v>
      </c>
      <c r="M113" s="1">
        <f>K113*L113</f>
        <v>0</v>
      </c>
      <c r="N113" s="113">
        <f>SUM(N105:N111)-M113</f>
        <v>21280317.599999905</v>
      </c>
      <c r="P113" s="114"/>
      <c r="Q113" s="169">
        <v>233944</v>
      </c>
      <c r="R113" s="19" t="s">
        <v>5349</v>
      </c>
      <c r="S113" s="197">
        <f>S112-8</f>
        <v>-8</v>
      </c>
      <c r="T113" s="189" t="s">
        <v>5351</v>
      </c>
      <c r="U113" s="213">
        <v>306.39999999999998</v>
      </c>
      <c r="V113" s="213">
        <f t="shared" si="24"/>
        <v>309.17690739726027</v>
      </c>
      <c r="W113" s="32">
        <f t="shared" si="25"/>
        <v>315.36044554520549</v>
      </c>
      <c r="X113" s="32">
        <f t="shared" si="26"/>
        <v>321.54398369315066</v>
      </c>
      <c r="Y113" t="s">
        <v>25</v>
      </c>
      <c r="AH113" s="99">
        <v>93</v>
      </c>
      <c r="AI113" s="113" t="s">
        <v>4573</v>
      </c>
      <c r="AJ113" s="113">
        <v>3000000</v>
      </c>
      <c r="AK113" s="99">
        <v>1</v>
      </c>
      <c r="AL113" s="99">
        <f t="shared" si="27"/>
        <v>296</v>
      </c>
      <c r="AM113" s="117">
        <f t="shared" si="11"/>
        <v>888000000</v>
      </c>
      <c r="AN113" s="99"/>
    </row>
    <row r="114" spans="6:46">
      <c r="F114" s="199"/>
      <c r="G114" s="199"/>
      <c r="H114" s="199"/>
      <c r="I114" s="199"/>
      <c r="J114" s="214"/>
      <c r="K114" s="244"/>
      <c r="L114" s="215" t="s">
        <v>4244</v>
      </c>
      <c r="M114" s="215" t="s">
        <v>4649</v>
      </c>
      <c r="N114" s="183" t="s">
        <v>4650</v>
      </c>
      <c r="Q114" s="169">
        <v>37537</v>
      </c>
      <c r="R114" s="19" t="s">
        <v>5352</v>
      </c>
      <c r="S114" s="197">
        <f>S113-2</f>
        <v>-10</v>
      </c>
      <c r="T114" s="189" t="s">
        <v>5356</v>
      </c>
      <c r="U114" s="213">
        <v>216</v>
      </c>
      <c r="V114" s="213">
        <f t="shared" si="24"/>
        <v>217.62621369863015</v>
      </c>
      <c r="W114" s="32">
        <f t="shared" si="25"/>
        <v>221.97873797260277</v>
      </c>
      <c r="X114" s="32">
        <f t="shared" si="26"/>
        <v>226.33126224657536</v>
      </c>
      <c r="Y114" t="s">
        <v>25</v>
      </c>
      <c r="AH114" s="99">
        <v>94</v>
      </c>
      <c r="AI114" s="113" t="s">
        <v>4577</v>
      </c>
      <c r="AJ114" s="113">
        <v>-2103736</v>
      </c>
      <c r="AK114" s="99">
        <v>0</v>
      </c>
      <c r="AL114" s="99">
        <f t="shared" si="27"/>
        <v>295</v>
      </c>
      <c r="AM114" s="117">
        <f t="shared" si="11"/>
        <v>-620602120</v>
      </c>
      <c r="AN114" s="99"/>
    </row>
    <row r="115" spans="6:46">
      <c r="F115" s="213"/>
      <c r="G115" s="213"/>
      <c r="H115" s="213"/>
      <c r="I115" s="213"/>
      <c r="J115" s="32" t="s">
        <v>4656</v>
      </c>
      <c r="K115" s="213"/>
      <c r="L115" s="1"/>
      <c r="M115" s="1"/>
      <c r="N115" s="113"/>
      <c r="Q115" s="169">
        <v>268420</v>
      </c>
      <c r="R115" s="19" t="s">
        <v>5369</v>
      </c>
      <c r="S115" s="197">
        <f>S114-7</f>
        <v>-17</v>
      </c>
      <c r="T115" s="189" t="s">
        <v>5371</v>
      </c>
      <c r="U115" s="213">
        <v>6680.2</v>
      </c>
      <c r="V115" s="213">
        <f t="shared" si="24"/>
        <v>6694.6219112328772</v>
      </c>
      <c r="W115" s="32">
        <f t="shared" ref="W115:W116" si="30">V115*(1+$W$19/100)</f>
        <v>6828.514349457535</v>
      </c>
      <c r="X115" s="32">
        <f t="shared" ref="X115:X116" si="31">V115*(1+$X$19/100)</f>
        <v>6962.4067876821928</v>
      </c>
      <c r="AH115" s="99">
        <v>95</v>
      </c>
      <c r="AI115" s="113" t="s">
        <v>4577</v>
      </c>
      <c r="AJ115" s="113">
        <v>220000</v>
      </c>
      <c r="AK115" s="99">
        <v>3</v>
      </c>
      <c r="AL115" s="99">
        <f t="shared" si="27"/>
        <v>295</v>
      </c>
      <c r="AM115" s="117">
        <f t="shared" si="11"/>
        <v>64900000</v>
      </c>
      <c r="AN115" s="99"/>
      <c r="AR115" s="96"/>
      <c r="AS115" s="96"/>
      <c r="AT115"/>
    </row>
    <row r="116" spans="6:46">
      <c r="M116" t="s">
        <v>25</v>
      </c>
      <c r="Q116" s="169"/>
      <c r="R116" s="168"/>
      <c r="S116" s="113"/>
      <c r="T116" s="113"/>
      <c r="U116" s="168" t="s">
        <v>25</v>
      </c>
      <c r="V116" s="213" t="e">
        <f t="shared" si="24"/>
        <v>#VALUE!</v>
      </c>
      <c r="W116" s="32" t="e">
        <f t="shared" si="30"/>
        <v>#VALUE!</v>
      </c>
      <c r="X116" s="32" t="e">
        <f t="shared" si="31"/>
        <v>#VALUE!</v>
      </c>
      <c r="Y116">
        <v>23000</v>
      </c>
      <c r="AH116" s="99">
        <v>96</v>
      </c>
      <c r="AI116" s="113" t="s">
        <v>4586</v>
      </c>
      <c r="AJ116" s="113">
        <v>4000000</v>
      </c>
      <c r="AK116" s="99">
        <v>1</v>
      </c>
      <c r="AL116" s="99">
        <f t="shared" si="27"/>
        <v>292</v>
      </c>
      <c r="AM116" s="117">
        <f t="shared" si="11"/>
        <v>1168000000</v>
      </c>
      <c r="AN116" s="99"/>
    </row>
    <row r="117" spans="6:46">
      <c r="P117" s="114"/>
      <c r="Q117" s="113">
        <f>SUM(N29:N33)-SUM(Q84:Q116)</f>
        <v>36873318.300000012</v>
      </c>
      <c r="R117" s="168"/>
      <c r="S117" s="168"/>
      <c r="T117" s="168"/>
      <c r="U117" s="168"/>
      <c r="V117" s="168"/>
      <c r="W117" s="32"/>
      <c r="X117" s="32"/>
      <c r="Y117">
        <v>6000</v>
      </c>
      <c r="AH117" s="99">
        <v>97</v>
      </c>
      <c r="AI117" s="113" t="s">
        <v>4591</v>
      </c>
      <c r="AJ117" s="113">
        <v>-9000000</v>
      </c>
      <c r="AK117" s="99">
        <v>0</v>
      </c>
      <c r="AL117" s="99">
        <f t="shared" si="27"/>
        <v>291</v>
      </c>
      <c r="AM117" s="117">
        <f t="shared" si="11"/>
        <v>-2619000000</v>
      </c>
      <c r="AN117" s="99"/>
      <c r="AP117" t="s">
        <v>25</v>
      </c>
    </row>
    <row r="118" spans="6:46">
      <c r="J118" s="114"/>
      <c r="K118" s="168" t="s">
        <v>4525</v>
      </c>
      <c r="L118" s="168" t="s">
        <v>4526</v>
      </c>
      <c r="M118" s="168" t="s">
        <v>4421</v>
      </c>
      <c r="N118" s="56" t="s">
        <v>190</v>
      </c>
      <c r="R118" s="115"/>
      <c r="S118" s="115"/>
      <c r="T118" s="115" t="s">
        <v>25</v>
      </c>
      <c r="U118" s="115" t="s">
        <v>25</v>
      </c>
      <c r="V118" s="115" t="s">
        <v>25</v>
      </c>
      <c r="W118" s="194" t="s">
        <v>25</v>
      </c>
      <c r="X118" s="194"/>
      <c r="AH118" s="99">
        <v>98</v>
      </c>
      <c r="AI118" s="113" t="s">
        <v>4591</v>
      </c>
      <c r="AJ118" s="113">
        <v>13900000</v>
      </c>
      <c r="AK118" s="99">
        <v>2</v>
      </c>
      <c r="AL118" s="99">
        <f t="shared" si="27"/>
        <v>291</v>
      </c>
      <c r="AM118" s="117">
        <f t="shared" si="11"/>
        <v>4044900000</v>
      </c>
      <c r="AN118" s="99"/>
    </row>
    <row r="119" spans="6:46">
      <c r="H119" s="114"/>
      <c r="K119" s="168" t="s">
        <v>4234</v>
      </c>
      <c r="L119" s="169">
        <v>1100000</v>
      </c>
      <c r="M119" s="169">
        <v>1637000</v>
      </c>
      <c r="N119" s="168">
        <f t="shared" ref="N119:N127" si="32">(M119-L119)*100/L119</f>
        <v>48.81818181818182</v>
      </c>
      <c r="Q119" s="99" t="s">
        <v>947</v>
      </c>
      <c r="R119" s="99">
        <v>1.03E-2</v>
      </c>
      <c r="S119" s="26" t="s">
        <v>25</v>
      </c>
      <c r="T119" t="s">
        <v>25</v>
      </c>
      <c r="U119" s="96" t="s">
        <v>25</v>
      </c>
      <c r="V119" s="115" t="s">
        <v>25</v>
      </c>
      <c r="W119" s="194" t="s">
        <v>25</v>
      </c>
      <c r="X119" s="194"/>
      <c r="Y119">
        <v>3300</v>
      </c>
      <c r="AH119" s="99">
        <v>99</v>
      </c>
      <c r="AI119" s="113" t="s">
        <v>4600</v>
      </c>
      <c r="AJ119" s="113">
        <v>-8127577</v>
      </c>
      <c r="AK119" s="99">
        <v>1</v>
      </c>
      <c r="AL119" s="99">
        <f t="shared" si="27"/>
        <v>289</v>
      </c>
      <c r="AM119" s="117">
        <f t="shared" si="11"/>
        <v>-2348869753</v>
      </c>
      <c r="AN119" s="99"/>
      <c r="AO119" t="s">
        <v>25</v>
      </c>
      <c r="AQ119" t="s">
        <v>25</v>
      </c>
    </row>
    <row r="120" spans="6:46">
      <c r="F120" s="96"/>
      <c r="G120" s="213"/>
      <c r="H120" s="213" t="s">
        <v>5310</v>
      </c>
      <c r="I120" s="213" t="s">
        <v>5298</v>
      </c>
      <c r="J120" s="1">
        <v>19922415</v>
      </c>
      <c r="K120" s="5" t="s">
        <v>4520</v>
      </c>
      <c r="L120" s="169">
        <v>1100000</v>
      </c>
      <c r="M120" s="169">
        <v>4748000</v>
      </c>
      <c r="N120" s="168">
        <f t="shared" si="32"/>
        <v>331.63636363636363</v>
      </c>
      <c r="Q120" s="99" t="s">
        <v>61</v>
      </c>
      <c r="R120" s="99">
        <v>4.8999999999999998E-3</v>
      </c>
      <c r="T120" t="s">
        <v>25</v>
      </c>
      <c r="U120" s="96" t="s">
        <v>25</v>
      </c>
      <c r="V120" t="s">
        <v>25</v>
      </c>
      <c r="W120" s="194" t="s">
        <v>25</v>
      </c>
      <c r="X120" s="194"/>
      <c r="AH120" s="99">
        <v>100</v>
      </c>
      <c r="AI120" s="113" t="s">
        <v>3688</v>
      </c>
      <c r="AJ120" s="113">
        <v>15792549</v>
      </c>
      <c r="AK120" s="99">
        <v>3</v>
      </c>
      <c r="AL120" s="99">
        <f t="shared" si="27"/>
        <v>288</v>
      </c>
      <c r="AM120" s="117">
        <f t="shared" si="11"/>
        <v>4548254112</v>
      </c>
      <c r="AN120" s="99"/>
      <c r="AO120" t="s">
        <v>25</v>
      </c>
      <c r="AP120" t="s">
        <v>25</v>
      </c>
    </row>
    <row r="121" spans="6:46">
      <c r="F121" s="96"/>
      <c r="G121" s="213" t="s">
        <v>939</v>
      </c>
      <c r="H121" s="213" t="s">
        <v>4525</v>
      </c>
      <c r="I121" s="213" t="s">
        <v>935</v>
      </c>
      <c r="J121" s="213" t="s">
        <v>4745</v>
      </c>
      <c r="K121" s="5" t="s">
        <v>4521</v>
      </c>
      <c r="L121" s="169">
        <v>1100000</v>
      </c>
      <c r="M121" s="169">
        <v>5137000</v>
      </c>
      <c r="N121" s="168">
        <f t="shared" si="32"/>
        <v>367</v>
      </c>
      <c r="Q121" s="99" t="s">
        <v>6</v>
      </c>
      <c r="R121" s="99">
        <f>R119+R120</f>
        <v>1.52E-2</v>
      </c>
      <c r="T121" t="s">
        <v>25</v>
      </c>
      <c r="U121" s="96" t="s">
        <v>25</v>
      </c>
      <c r="V121" t="s">
        <v>25</v>
      </c>
      <c r="W121" s="194"/>
      <c r="X121" s="194"/>
      <c r="AH121" s="99">
        <v>101</v>
      </c>
      <c r="AI121" s="113" t="s">
        <v>4605</v>
      </c>
      <c r="AJ121" s="113">
        <v>8800000</v>
      </c>
      <c r="AK121" s="99">
        <v>0</v>
      </c>
      <c r="AL121" s="99">
        <f t="shared" ref="AL121:AL125" si="33">AL122+AK121</f>
        <v>285</v>
      </c>
      <c r="AM121" s="117">
        <f t="shared" ref="AM121:AM144" si="34">AJ121*AL121</f>
        <v>2508000000</v>
      </c>
      <c r="AN121" s="99"/>
      <c r="AP121" t="s">
        <v>25</v>
      </c>
    </row>
    <row r="122" spans="6:46" ht="45">
      <c r="F122" s="96"/>
      <c r="G122" s="1">
        <f>P50</f>
        <v>305.10000000000002</v>
      </c>
      <c r="H122" s="213" t="s">
        <v>4234</v>
      </c>
      <c r="I122" s="213">
        <v>129827</v>
      </c>
      <c r="J122" s="1">
        <f>I122*G122</f>
        <v>39610217.700000003</v>
      </c>
      <c r="K122" s="19" t="s">
        <v>4380</v>
      </c>
      <c r="L122" s="169">
        <v>1100000</v>
      </c>
      <c r="M122" s="169">
        <v>4300000</v>
      </c>
      <c r="N122" s="168">
        <f t="shared" si="32"/>
        <v>290.90909090909093</v>
      </c>
      <c r="P122" s="114"/>
      <c r="W122" s="194"/>
      <c r="X122" s="194"/>
      <c r="Y122" t="s">
        <v>25</v>
      </c>
      <c r="AH122" s="121">
        <v>102</v>
      </c>
      <c r="AI122" s="79" t="s">
        <v>4605</v>
      </c>
      <c r="AJ122" s="79">
        <v>13071612</v>
      </c>
      <c r="AK122" s="121">
        <v>1</v>
      </c>
      <c r="AL122" s="121">
        <f t="shared" si="33"/>
        <v>285</v>
      </c>
      <c r="AM122" s="79">
        <f t="shared" si="34"/>
        <v>3725409420</v>
      </c>
      <c r="AN122" s="205" t="s">
        <v>4606</v>
      </c>
    </row>
    <row r="123" spans="6:46" ht="30">
      <c r="F123" s="96"/>
      <c r="G123" s="1">
        <f>P47</f>
        <v>798</v>
      </c>
      <c r="H123" s="213" t="s">
        <v>4398</v>
      </c>
      <c r="I123" s="213">
        <v>1205</v>
      </c>
      <c r="J123" s="1">
        <f t="shared" ref="J123:J124" si="35">I123*G123</f>
        <v>961590</v>
      </c>
      <c r="K123" s="5" t="s">
        <v>4398</v>
      </c>
      <c r="L123" s="169">
        <v>1100000</v>
      </c>
      <c r="M123" s="169">
        <v>3191000</v>
      </c>
      <c r="N123" s="168">
        <f t="shared" si="32"/>
        <v>190.09090909090909</v>
      </c>
      <c r="Q123" s="73" t="s">
        <v>4286</v>
      </c>
      <c r="R123" s="112"/>
      <c r="S123" s="112"/>
      <c r="T123" s="112"/>
      <c r="U123" s="168" t="s">
        <v>4353</v>
      </c>
      <c r="V123" s="36" t="s">
        <v>4355</v>
      </c>
      <c r="W123" s="32"/>
      <c r="X123" s="32"/>
      <c r="Y123" t="s">
        <v>25</v>
      </c>
      <c r="AH123" s="89">
        <v>103</v>
      </c>
      <c r="AI123" s="90" t="s">
        <v>4609</v>
      </c>
      <c r="AJ123" s="90">
        <v>16727037</v>
      </c>
      <c r="AK123" s="89">
        <v>0</v>
      </c>
      <c r="AL123" s="89">
        <f t="shared" si="33"/>
        <v>284</v>
      </c>
      <c r="AM123" s="90">
        <f t="shared" si="34"/>
        <v>4750478508</v>
      </c>
      <c r="AN123" s="89" t="s">
        <v>4616</v>
      </c>
    </row>
    <row r="124" spans="6:46">
      <c r="F124" s="96"/>
      <c r="G124" s="1">
        <f>P48</f>
        <v>6500</v>
      </c>
      <c r="H124" s="213" t="s">
        <v>4384</v>
      </c>
      <c r="I124" s="213">
        <v>1399</v>
      </c>
      <c r="J124" s="1">
        <f t="shared" si="35"/>
        <v>9093500</v>
      </c>
      <c r="K124" s="5" t="s">
        <v>4522</v>
      </c>
      <c r="L124" s="169">
        <v>1100000</v>
      </c>
      <c r="M124" s="169">
        <v>5623000</v>
      </c>
      <c r="N124" s="168">
        <f t="shared" si="32"/>
        <v>411.18181818181819</v>
      </c>
      <c r="Q124" s="112" t="s">
        <v>267</v>
      </c>
      <c r="R124" s="112" t="s">
        <v>180</v>
      </c>
      <c r="S124" s="112" t="s">
        <v>183</v>
      </c>
      <c r="T124" s="112" t="s">
        <v>8</v>
      </c>
      <c r="U124" s="168"/>
      <c r="V124" s="99"/>
      <c r="W124" s="32">
        <v>2</v>
      </c>
      <c r="X124" s="32">
        <v>4</v>
      </c>
      <c r="Y124" s="122" t="s">
        <v>25</v>
      </c>
      <c r="AH124" s="99">
        <v>104</v>
      </c>
      <c r="AI124" s="113" t="s">
        <v>4609</v>
      </c>
      <c r="AJ124" s="113">
        <v>12000000</v>
      </c>
      <c r="AK124" s="99">
        <v>1</v>
      </c>
      <c r="AL124" s="99">
        <f t="shared" si="33"/>
        <v>284</v>
      </c>
      <c r="AM124" s="117">
        <f t="shared" si="34"/>
        <v>3408000000</v>
      </c>
      <c r="AN124" s="99" t="s">
        <v>4617</v>
      </c>
    </row>
    <row r="125" spans="6:46">
      <c r="F125" s="96"/>
      <c r="G125" s="1"/>
      <c r="H125" s="213" t="s">
        <v>25</v>
      </c>
      <c r="I125" s="213"/>
      <c r="J125" s="1"/>
      <c r="K125" s="19" t="s">
        <v>4384</v>
      </c>
      <c r="L125" s="169">
        <v>1100000</v>
      </c>
      <c r="M125" s="169">
        <v>7728000</v>
      </c>
      <c r="N125" s="168">
        <f t="shared" si="32"/>
        <v>602.5454545454545</v>
      </c>
      <c r="Q125" s="35">
        <v>184971545</v>
      </c>
      <c r="R125" s="5" t="s">
        <v>4167</v>
      </c>
      <c r="S125" s="5">
        <v>386</v>
      </c>
      <c r="T125" s="5" t="s">
        <v>4336</v>
      </c>
      <c r="U125" s="168">
        <v>192</v>
      </c>
      <c r="V125" s="99">
        <f t="shared" ref="V125:V156" si="36">U125*(1+$R$121+$Q$15*S125/36500)</f>
        <v>251.77144109589042</v>
      </c>
      <c r="W125" s="32">
        <f t="shared" ref="W125:W141" si="37">V125*(1+$W$19/100)</f>
        <v>256.80686991780823</v>
      </c>
      <c r="X125" s="32">
        <f t="shared" ref="X125:X141" si="38">V125*(1+$X$19/100)</f>
        <v>261.84229873972606</v>
      </c>
      <c r="AH125" s="89">
        <v>105</v>
      </c>
      <c r="AI125" s="90" t="s">
        <v>4536</v>
      </c>
      <c r="AJ125" s="90">
        <v>88697667</v>
      </c>
      <c r="AK125" s="89">
        <v>1</v>
      </c>
      <c r="AL125" s="89">
        <f t="shared" si="33"/>
        <v>283</v>
      </c>
      <c r="AM125" s="90">
        <f t="shared" si="34"/>
        <v>25101439761</v>
      </c>
      <c r="AN125" s="89" t="s">
        <v>4618</v>
      </c>
      <c r="AP125" t="s">
        <v>25</v>
      </c>
    </row>
    <row r="126" spans="6:46">
      <c r="F126" s="96"/>
      <c r="G126" s="213"/>
      <c r="H126" s="213"/>
      <c r="I126" s="113">
        <f>J126-J120</f>
        <v>29742892.700000003</v>
      </c>
      <c r="J126" s="1">
        <f>SUM(J122:J125)</f>
        <v>49665307.700000003</v>
      </c>
      <c r="K126" s="5" t="s">
        <v>4524</v>
      </c>
      <c r="L126" s="169">
        <v>1100000</v>
      </c>
      <c r="M126" s="169">
        <v>2904000</v>
      </c>
      <c r="N126" s="168">
        <f t="shared" si="32"/>
        <v>164</v>
      </c>
      <c r="Q126" s="35">
        <v>9560464</v>
      </c>
      <c r="R126" s="5" t="s">
        <v>4290</v>
      </c>
      <c r="S126" s="5">
        <f>S125-31</f>
        <v>355</v>
      </c>
      <c r="T126" s="5" t="s">
        <v>4303</v>
      </c>
      <c r="U126" s="168">
        <v>214.57</v>
      </c>
      <c r="V126" s="99">
        <f t="shared" si="36"/>
        <v>276.26504756164383</v>
      </c>
      <c r="W126" s="32">
        <f t="shared" si="37"/>
        <v>281.79034851287673</v>
      </c>
      <c r="X126" s="32">
        <f t="shared" si="38"/>
        <v>287.31564946410958</v>
      </c>
      <c r="Y126" t="s">
        <v>25</v>
      </c>
      <c r="AH126" s="99">
        <v>106</v>
      </c>
      <c r="AI126" s="113" t="s">
        <v>4539</v>
      </c>
      <c r="AJ126" s="113">
        <v>101000</v>
      </c>
      <c r="AK126" s="99">
        <v>0</v>
      </c>
      <c r="AL126" s="99">
        <f>AL127+AK126</f>
        <v>282</v>
      </c>
      <c r="AM126" s="117">
        <f t="shared" si="34"/>
        <v>28482000</v>
      </c>
      <c r="AN126" s="99"/>
      <c r="AQ126" t="s">
        <v>25</v>
      </c>
    </row>
    <row r="127" spans="6:46">
      <c r="G127" s="213"/>
      <c r="H127" s="213"/>
      <c r="I127" s="213" t="s">
        <v>915</v>
      </c>
      <c r="J127" s="213" t="s">
        <v>6</v>
      </c>
      <c r="K127" s="263" t="s">
        <v>1083</v>
      </c>
      <c r="L127" s="169">
        <v>1100000</v>
      </c>
      <c r="M127" s="169">
        <v>3400000</v>
      </c>
      <c r="N127" s="168">
        <f t="shared" si="32"/>
        <v>209.09090909090909</v>
      </c>
      <c r="P127" s="114"/>
      <c r="Q127" s="35">
        <v>2000000</v>
      </c>
      <c r="R127" s="5" t="s">
        <v>4333</v>
      </c>
      <c r="S127" s="5">
        <f>S126-11</f>
        <v>344</v>
      </c>
      <c r="T127" s="5" t="s">
        <v>4335</v>
      </c>
      <c r="U127" s="168">
        <v>206.8</v>
      </c>
      <c r="V127" s="99">
        <f t="shared" si="36"/>
        <v>264.51589698630141</v>
      </c>
      <c r="W127" s="32">
        <f t="shared" si="37"/>
        <v>269.80621492602745</v>
      </c>
      <c r="X127" s="32">
        <f t="shared" si="38"/>
        <v>275.09653286575349</v>
      </c>
      <c r="AH127" s="149">
        <v>107</v>
      </c>
      <c r="AI127" s="188" t="s">
        <v>4615</v>
      </c>
      <c r="AJ127" s="188">
        <v>-48200</v>
      </c>
      <c r="AK127" s="149">
        <v>0</v>
      </c>
      <c r="AL127" s="149">
        <f t="shared" ref="AL127:AL177" si="39">AL128+AK127</f>
        <v>282</v>
      </c>
      <c r="AM127" s="188">
        <f t="shared" si="34"/>
        <v>-13592400</v>
      </c>
      <c r="AN127" s="149" t="s">
        <v>4624</v>
      </c>
    </row>
    <row r="128" spans="6:46">
      <c r="G128" s="41"/>
      <c r="H128" s="41"/>
      <c r="I128" s="41"/>
      <c r="J128" s="41"/>
      <c r="K128" s="242" t="s">
        <v>4553</v>
      </c>
      <c r="Q128" s="35">
        <v>1429825</v>
      </c>
      <c r="R128" s="5" t="s">
        <v>4362</v>
      </c>
      <c r="S128" s="5">
        <f>S127-7</f>
        <v>337</v>
      </c>
      <c r="T128" s="5" t="s">
        <v>4371</v>
      </c>
      <c r="U128" s="168">
        <v>203.9</v>
      </c>
      <c r="V128" s="99">
        <f t="shared" si="36"/>
        <v>259.71161972602744</v>
      </c>
      <c r="W128" s="32">
        <f t="shared" si="37"/>
        <v>264.90585212054799</v>
      </c>
      <c r="X128" s="32">
        <f t="shared" si="38"/>
        <v>270.10008451506854</v>
      </c>
      <c r="AH128" s="89">
        <v>108</v>
      </c>
      <c r="AI128" s="90" t="s">
        <v>4615</v>
      </c>
      <c r="AJ128" s="90">
        <v>39327293</v>
      </c>
      <c r="AK128" s="89">
        <v>4</v>
      </c>
      <c r="AL128" s="149">
        <f t="shared" si="39"/>
        <v>282</v>
      </c>
      <c r="AM128" s="188">
        <f t="shared" si="34"/>
        <v>11090296626</v>
      </c>
      <c r="AN128" s="89" t="s">
        <v>4625</v>
      </c>
    </row>
    <row r="129" spans="7:43">
      <c r="G129" s="213"/>
      <c r="H129" s="213" t="s">
        <v>4272</v>
      </c>
      <c r="I129" s="213" t="s">
        <v>5226</v>
      </c>
      <c r="J129" s="1">
        <v>16319143</v>
      </c>
      <c r="K129" s="242" t="s">
        <v>4554</v>
      </c>
      <c r="Q129" s="35">
        <v>1420747</v>
      </c>
      <c r="R129" s="5" t="s">
        <v>4362</v>
      </c>
      <c r="S129" s="5">
        <f>S128</f>
        <v>337</v>
      </c>
      <c r="T129" s="5" t="s">
        <v>4373</v>
      </c>
      <c r="U129" s="168">
        <v>203.1</v>
      </c>
      <c r="V129" s="99">
        <f t="shared" si="36"/>
        <v>258.69264328767127</v>
      </c>
      <c r="W129" s="32">
        <f t="shared" si="37"/>
        <v>263.86649615342469</v>
      </c>
      <c r="X129" s="32">
        <f t="shared" si="38"/>
        <v>269.04034901917811</v>
      </c>
      <c r="Y129" t="s">
        <v>25</v>
      </c>
      <c r="AH129" s="89">
        <v>109</v>
      </c>
      <c r="AI129" s="90" t="s">
        <v>4639</v>
      </c>
      <c r="AJ129" s="90">
        <v>8749050</v>
      </c>
      <c r="AK129" s="89">
        <v>1</v>
      </c>
      <c r="AL129" s="89">
        <f t="shared" si="39"/>
        <v>278</v>
      </c>
      <c r="AM129" s="90">
        <f t="shared" si="34"/>
        <v>2432235900</v>
      </c>
      <c r="AN129" s="89" t="s">
        <v>4640</v>
      </c>
    </row>
    <row r="130" spans="7:43">
      <c r="G130" s="1">
        <f>P50</f>
        <v>305.10000000000002</v>
      </c>
      <c r="H130" s="213" t="s">
        <v>4234</v>
      </c>
      <c r="I130" s="213">
        <v>50896</v>
      </c>
      <c r="J130" s="1">
        <f>G130*I130</f>
        <v>15528369.600000001</v>
      </c>
      <c r="K130" s="242" t="s">
        <v>4555</v>
      </c>
      <c r="Q130" s="35">
        <v>2010885</v>
      </c>
      <c r="R130" s="5" t="s">
        <v>4382</v>
      </c>
      <c r="S130" s="5">
        <f>S129-3</f>
        <v>334</v>
      </c>
      <c r="T130" s="5" t="s">
        <v>4387</v>
      </c>
      <c r="U130" s="168">
        <v>202.1</v>
      </c>
      <c r="V130" s="99">
        <f t="shared" si="36"/>
        <v>256.95381589041097</v>
      </c>
      <c r="W130" s="32">
        <f t="shared" si="37"/>
        <v>262.09289220821921</v>
      </c>
      <c r="X130" s="32">
        <f t="shared" si="38"/>
        <v>267.2319685260274</v>
      </c>
      <c r="Z130" t="s">
        <v>25</v>
      </c>
      <c r="AH130" s="99">
        <v>110</v>
      </c>
      <c r="AI130" s="113" t="s">
        <v>4642</v>
      </c>
      <c r="AJ130" s="113">
        <v>60000</v>
      </c>
      <c r="AK130" s="99">
        <v>1</v>
      </c>
      <c r="AL130" s="99">
        <f t="shared" si="39"/>
        <v>277</v>
      </c>
      <c r="AM130" s="117">
        <f t="shared" si="34"/>
        <v>16620000</v>
      </c>
      <c r="AN130" s="99" t="s">
        <v>4643</v>
      </c>
    </row>
    <row r="131" spans="7:43">
      <c r="G131" s="1">
        <f>P47</f>
        <v>798</v>
      </c>
      <c r="H131" s="213" t="s">
        <v>4398</v>
      </c>
      <c r="I131" s="213">
        <v>2304</v>
      </c>
      <c r="J131" s="1">
        <f t="shared" ref="J131:J132" si="40">G131*I131</f>
        <v>1838592</v>
      </c>
      <c r="Q131" s="35">
        <v>444</v>
      </c>
      <c r="R131" s="5" t="s">
        <v>4392</v>
      </c>
      <c r="S131" s="5">
        <f>S130-3</f>
        <v>331</v>
      </c>
      <c r="T131" s="5" t="s">
        <v>4593</v>
      </c>
      <c r="U131" s="168">
        <v>441.8</v>
      </c>
      <c r="V131" s="99">
        <f t="shared" si="36"/>
        <v>560.69624767123298</v>
      </c>
      <c r="W131" s="32">
        <f t="shared" si="37"/>
        <v>571.91017262465766</v>
      </c>
      <c r="X131" s="32">
        <f t="shared" si="38"/>
        <v>583.12409757808234</v>
      </c>
      <c r="Y131" t="s">
        <v>25</v>
      </c>
      <c r="AH131" s="20">
        <v>111</v>
      </c>
      <c r="AI131" s="117" t="s">
        <v>4651</v>
      </c>
      <c r="AJ131" s="117">
        <v>4750000</v>
      </c>
      <c r="AK131" s="20">
        <v>0</v>
      </c>
      <c r="AL131" s="99">
        <f t="shared" si="39"/>
        <v>276</v>
      </c>
      <c r="AM131" s="117">
        <f t="shared" si="34"/>
        <v>1311000000</v>
      </c>
      <c r="AN131" s="20"/>
      <c r="AQ131" t="s">
        <v>25</v>
      </c>
    </row>
    <row r="132" spans="7:43">
      <c r="G132" s="1">
        <f>P46</f>
        <v>5455.7</v>
      </c>
      <c r="H132" s="213" t="s">
        <v>4380</v>
      </c>
      <c r="I132" s="213">
        <v>715</v>
      </c>
      <c r="J132" s="1">
        <f t="shared" si="40"/>
        <v>3900825.5</v>
      </c>
      <c r="Q132" s="35">
        <v>1971103</v>
      </c>
      <c r="R132" s="5" t="s">
        <v>4403</v>
      </c>
      <c r="S132" s="5">
        <f>S131-1</f>
        <v>330</v>
      </c>
      <c r="T132" s="5" t="s">
        <v>4404</v>
      </c>
      <c r="U132" s="168">
        <v>196.2</v>
      </c>
      <c r="V132" s="99">
        <f t="shared" si="36"/>
        <v>248.85040438356165</v>
      </c>
      <c r="W132" s="32">
        <f t="shared" si="37"/>
        <v>253.82741247123289</v>
      </c>
      <c r="X132" s="32">
        <f t="shared" si="38"/>
        <v>258.80442055890416</v>
      </c>
      <c r="Y132" t="s">
        <v>25</v>
      </c>
      <c r="AH132" s="89">
        <v>112</v>
      </c>
      <c r="AI132" s="90" t="s">
        <v>4651</v>
      </c>
      <c r="AJ132" s="90">
        <v>13101160</v>
      </c>
      <c r="AK132" s="89">
        <v>1</v>
      </c>
      <c r="AL132" s="89">
        <f t="shared" si="39"/>
        <v>276</v>
      </c>
      <c r="AM132" s="90">
        <f t="shared" si="34"/>
        <v>3615920160</v>
      </c>
      <c r="AN132" s="89" t="s">
        <v>4654</v>
      </c>
    </row>
    <row r="133" spans="7:43">
      <c r="G133" s="213"/>
      <c r="H133" s="213"/>
      <c r="I133" s="213" t="s">
        <v>25</v>
      </c>
      <c r="J133" s="213" t="s">
        <v>25</v>
      </c>
      <c r="Q133" s="35">
        <v>1049856</v>
      </c>
      <c r="R133" s="5" t="s">
        <v>4423</v>
      </c>
      <c r="S133" s="5">
        <f>S132-6</f>
        <v>324</v>
      </c>
      <c r="T133" s="5" t="s">
        <v>4461</v>
      </c>
      <c r="U133" s="168">
        <v>184.5</v>
      </c>
      <c r="V133" s="99">
        <f t="shared" si="36"/>
        <v>233.16149589041098</v>
      </c>
      <c r="W133" s="32">
        <f t="shared" si="37"/>
        <v>237.8247258082192</v>
      </c>
      <c r="X133" s="32">
        <f t="shared" si="38"/>
        <v>242.48795572602742</v>
      </c>
      <c r="AH133" s="20">
        <v>113</v>
      </c>
      <c r="AI133" s="117" t="s">
        <v>4653</v>
      </c>
      <c r="AJ133" s="117">
        <v>-980000</v>
      </c>
      <c r="AK133" s="20">
        <v>0</v>
      </c>
      <c r="AL133" s="99">
        <f t="shared" si="39"/>
        <v>275</v>
      </c>
      <c r="AM133" s="117">
        <f t="shared" si="34"/>
        <v>-269500000</v>
      </c>
      <c r="AN133" s="20"/>
    </row>
    <row r="134" spans="7:43">
      <c r="G134" s="213"/>
      <c r="H134" s="213"/>
      <c r="I134" s="113">
        <f>J134-J129</f>
        <v>4948644.1000000015</v>
      </c>
      <c r="J134" s="1">
        <f>SUM(J130:J133)</f>
        <v>21267787.100000001</v>
      </c>
      <c r="Q134" s="35">
        <v>1783234</v>
      </c>
      <c r="R134" s="5" t="s">
        <v>4425</v>
      </c>
      <c r="S134" s="5">
        <f>S133-2</f>
        <v>322</v>
      </c>
      <c r="T134" s="5" t="s">
        <v>4426</v>
      </c>
      <c r="U134" s="168">
        <v>177.5</v>
      </c>
      <c r="V134" s="99">
        <f t="shared" si="36"/>
        <v>224.04293150684933</v>
      </c>
      <c r="W134" s="32">
        <f t="shared" si="37"/>
        <v>228.52379013698632</v>
      </c>
      <c r="X134" s="32">
        <f t="shared" si="38"/>
        <v>233.00464876712331</v>
      </c>
      <c r="Y134" t="s">
        <v>25</v>
      </c>
      <c r="AH134" s="89">
        <v>114</v>
      </c>
      <c r="AI134" s="90" t="s">
        <v>4653</v>
      </c>
      <c r="AJ134" s="90">
        <v>13301790</v>
      </c>
      <c r="AK134" s="89">
        <v>0</v>
      </c>
      <c r="AL134" s="89">
        <f t="shared" si="39"/>
        <v>275</v>
      </c>
      <c r="AM134" s="90">
        <f t="shared" si="34"/>
        <v>3657992250</v>
      </c>
      <c r="AN134" s="89" t="s">
        <v>4654</v>
      </c>
      <c r="AQ134" t="s">
        <v>25</v>
      </c>
    </row>
    <row r="135" spans="7:43">
      <c r="G135" s="213"/>
      <c r="H135" s="213"/>
      <c r="I135" s="213" t="s">
        <v>915</v>
      </c>
      <c r="J135" s="213" t="s">
        <v>6</v>
      </c>
      <c r="K135" t="s">
        <v>25</v>
      </c>
      <c r="Q135" s="35">
        <v>1662335</v>
      </c>
      <c r="R135" s="5" t="s">
        <v>4429</v>
      </c>
      <c r="S135" s="5">
        <f>S134-5</f>
        <v>317</v>
      </c>
      <c r="T135" s="218" t="s">
        <v>4576</v>
      </c>
      <c r="U135" s="168">
        <v>190.3</v>
      </c>
      <c r="V135" s="99">
        <f t="shared" si="36"/>
        <v>239.46934904109594</v>
      </c>
      <c r="W135" s="32">
        <f t="shared" si="37"/>
        <v>244.25873602191785</v>
      </c>
      <c r="X135" s="32">
        <f t="shared" si="38"/>
        <v>249.04812300273977</v>
      </c>
      <c r="AH135" s="20">
        <v>115</v>
      </c>
      <c r="AI135" s="117" t="s">
        <v>4653</v>
      </c>
      <c r="AJ135" s="117">
        <v>404000</v>
      </c>
      <c r="AK135" s="20">
        <v>5</v>
      </c>
      <c r="AL135" s="99">
        <f t="shared" si="39"/>
        <v>275</v>
      </c>
      <c r="AM135" s="117">
        <f t="shared" si="34"/>
        <v>111100000</v>
      </c>
      <c r="AN135" s="20" t="s">
        <v>4661</v>
      </c>
    </row>
    <row r="136" spans="7:43">
      <c r="G136" s="41"/>
      <c r="H136" s="41"/>
      <c r="I136" s="41"/>
      <c r="J136" s="41"/>
      <c r="M136">
        <v>236</v>
      </c>
      <c r="N136">
        <v>3</v>
      </c>
      <c r="O136">
        <f>M136*N136</f>
        <v>708</v>
      </c>
      <c r="Q136" s="35">
        <v>2272487</v>
      </c>
      <c r="R136" s="5" t="s">
        <v>4586</v>
      </c>
      <c r="S136" s="5">
        <f>S135-42</f>
        <v>275</v>
      </c>
      <c r="T136" s="5" t="s">
        <v>4587</v>
      </c>
      <c r="U136" s="168">
        <v>174.9</v>
      </c>
      <c r="V136" s="99">
        <f t="shared" si="36"/>
        <v>214.45519232876714</v>
      </c>
      <c r="W136" s="32">
        <f t="shared" si="37"/>
        <v>218.7442961753425</v>
      </c>
      <c r="X136" s="32">
        <f t="shared" si="38"/>
        <v>223.03340002191783</v>
      </c>
      <c r="Y136" t="s">
        <v>25</v>
      </c>
      <c r="AH136" s="89">
        <v>116</v>
      </c>
      <c r="AI136" s="90" t="s">
        <v>4676</v>
      </c>
      <c r="AJ136" s="90">
        <v>4291628</v>
      </c>
      <c r="AK136" s="89">
        <v>2</v>
      </c>
      <c r="AL136" s="89">
        <f t="shared" si="39"/>
        <v>270</v>
      </c>
      <c r="AM136" s="90">
        <f t="shared" si="34"/>
        <v>1158739560</v>
      </c>
      <c r="AN136" s="89" t="s">
        <v>4677</v>
      </c>
    </row>
    <row r="137" spans="7:43">
      <c r="G137" s="213"/>
      <c r="H137" s="213" t="s">
        <v>5373</v>
      </c>
      <c r="I137" s="213" t="s">
        <v>5227</v>
      </c>
      <c r="J137" s="1">
        <v>19795000</v>
      </c>
      <c r="K137" t="s">
        <v>25</v>
      </c>
      <c r="M137">
        <v>126</v>
      </c>
      <c r="N137">
        <v>1</v>
      </c>
      <c r="O137">
        <f>M137*N137</f>
        <v>126</v>
      </c>
      <c r="Q137" s="35">
        <v>3975257</v>
      </c>
      <c r="R137" s="5" t="s">
        <v>4591</v>
      </c>
      <c r="S137" s="5">
        <f>S136-1</f>
        <v>274</v>
      </c>
      <c r="T137" s="5" t="s">
        <v>4592</v>
      </c>
      <c r="U137" s="168">
        <v>173</v>
      </c>
      <c r="V137" s="99">
        <f t="shared" si="36"/>
        <v>211.99277808219179</v>
      </c>
      <c r="W137" s="32">
        <f t="shared" si="37"/>
        <v>216.23263364383564</v>
      </c>
      <c r="X137" s="32">
        <f t="shared" si="38"/>
        <v>220.47248920547946</v>
      </c>
      <c r="Z137" t="s">
        <v>25</v>
      </c>
      <c r="AH137" s="20">
        <v>117</v>
      </c>
      <c r="AI137" s="117" t="s">
        <v>4679</v>
      </c>
      <c r="AJ137" s="117">
        <v>1000</v>
      </c>
      <c r="AK137" s="20">
        <v>5</v>
      </c>
      <c r="AL137" s="20">
        <f t="shared" si="39"/>
        <v>268</v>
      </c>
      <c r="AM137" s="117">
        <f t="shared" si="34"/>
        <v>268000</v>
      </c>
      <c r="AN137" s="20"/>
    </row>
    <row r="138" spans="7:43">
      <c r="G138" s="1">
        <f>P50</f>
        <v>305.10000000000002</v>
      </c>
      <c r="H138" s="213" t="s">
        <v>4234</v>
      </c>
      <c r="I138" s="213">
        <v>46582</v>
      </c>
      <c r="J138" s="1">
        <f>G138*I138</f>
        <v>14212168.200000001</v>
      </c>
      <c r="L138">
        <v>821</v>
      </c>
      <c r="M138">
        <v>590</v>
      </c>
      <c r="N138">
        <v>0</v>
      </c>
      <c r="O138" s="96">
        <f>M138*N138</f>
        <v>0</v>
      </c>
      <c r="Q138" s="35">
        <v>1031662</v>
      </c>
      <c r="R138" s="5" t="s">
        <v>4225</v>
      </c>
      <c r="S138" s="5">
        <f>S137-1</f>
        <v>273</v>
      </c>
      <c r="T138" s="5" t="s">
        <v>4595</v>
      </c>
      <c r="U138" s="168">
        <v>171.2</v>
      </c>
      <c r="V138" s="99">
        <f t="shared" si="36"/>
        <v>209.65574136986302</v>
      </c>
      <c r="W138" s="32">
        <f t="shared" si="37"/>
        <v>213.84885619726029</v>
      </c>
      <c r="X138" s="32">
        <f t="shared" si="38"/>
        <v>218.04197102465756</v>
      </c>
      <c r="Y138" t="s">
        <v>25</v>
      </c>
      <c r="AH138" s="121">
        <v>118</v>
      </c>
      <c r="AI138" s="79" t="s">
        <v>4687</v>
      </c>
      <c r="AJ138" s="79">
        <v>8739459</v>
      </c>
      <c r="AK138" s="121">
        <v>2</v>
      </c>
      <c r="AL138" s="121">
        <f t="shared" si="39"/>
        <v>263</v>
      </c>
      <c r="AM138" s="79">
        <f t="shared" si="34"/>
        <v>2298477717</v>
      </c>
      <c r="AN138" s="121" t="s">
        <v>4640</v>
      </c>
    </row>
    <row r="139" spans="7:43">
      <c r="G139" s="213"/>
      <c r="H139" s="213" t="s">
        <v>338</v>
      </c>
      <c r="I139" s="213"/>
      <c r="J139" s="1">
        <v>10000000</v>
      </c>
      <c r="K139" t="s">
        <v>25</v>
      </c>
      <c r="Q139" s="35">
        <v>577500</v>
      </c>
      <c r="R139" s="5" t="s">
        <v>4225</v>
      </c>
      <c r="S139" s="5">
        <f>S138</f>
        <v>273</v>
      </c>
      <c r="T139" s="5" t="s">
        <v>4599</v>
      </c>
      <c r="U139" s="168">
        <v>175</v>
      </c>
      <c r="V139" s="99">
        <f t="shared" si="36"/>
        <v>214.30931506849319</v>
      </c>
      <c r="W139" s="32">
        <f t="shared" si="37"/>
        <v>218.59550136986306</v>
      </c>
      <c r="X139" s="32">
        <f t="shared" si="38"/>
        <v>222.88168767123292</v>
      </c>
      <c r="AH139" s="121">
        <v>119</v>
      </c>
      <c r="AI139" s="79" t="s">
        <v>4688</v>
      </c>
      <c r="AJ139" s="79">
        <v>17595278</v>
      </c>
      <c r="AK139" s="121">
        <v>1</v>
      </c>
      <c r="AL139" s="121">
        <f t="shared" si="39"/>
        <v>261</v>
      </c>
      <c r="AM139" s="79">
        <f t="shared" si="34"/>
        <v>4592367558</v>
      </c>
      <c r="AN139" s="121" t="s">
        <v>4690</v>
      </c>
      <c r="AQ139" t="s">
        <v>25</v>
      </c>
    </row>
    <row r="140" spans="7:43">
      <c r="G140" s="213"/>
      <c r="H140" s="213"/>
      <c r="I140" s="1">
        <f>J140-J137</f>
        <v>4417168.200000003</v>
      </c>
      <c r="J140" s="1">
        <f>SUM(J138:J139)</f>
        <v>24212168.200000003</v>
      </c>
      <c r="O140">
        <f>O136+O137+O138</f>
        <v>834</v>
      </c>
      <c r="Q140" s="35">
        <v>12636487</v>
      </c>
      <c r="R140" s="5" t="s">
        <v>3688</v>
      </c>
      <c r="S140" s="5">
        <f>S139-2</f>
        <v>271</v>
      </c>
      <c r="T140" s="5" t="s">
        <v>4602</v>
      </c>
      <c r="U140" s="168">
        <v>172.1</v>
      </c>
      <c r="V140" s="99">
        <f t="shared" si="36"/>
        <v>210.49385972602741</v>
      </c>
      <c r="W140" s="32">
        <f t="shared" si="37"/>
        <v>214.70373692054795</v>
      </c>
      <c r="X140" s="32">
        <f t="shared" si="38"/>
        <v>218.91361411506853</v>
      </c>
      <c r="Z140" t="s">
        <v>25</v>
      </c>
      <c r="AH140" s="121">
        <v>120</v>
      </c>
      <c r="AI140" s="79" t="s">
        <v>4689</v>
      </c>
      <c r="AJ140" s="79">
        <v>13335309</v>
      </c>
      <c r="AK140" s="121">
        <v>13</v>
      </c>
      <c r="AL140" s="121">
        <f t="shared" si="39"/>
        <v>260</v>
      </c>
      <c r="AM140" s="79">
        <f t="shared" si="34"/>
        <v>3467180340</v>
      </c>
      <c r="AN140" s="121" t="s">
        <v>4654</v>
      </c>
    </row>
    <row r="141" spans="7:43">
      <c r="G141" s="213"/>
      <c r="H141" s="213"/>
      <c r="I141" s="213" t="s">
        <v>915</v>
      </c>
      <c r="J141" s="213" t="s">
        <v>6</v>
      </c>
      <c r="Q141" s="39">
        <v>11121445</v>
      </c>
      <c r="R141" s="5" t="s">
        <v>4605</v>
      </c>
      <c r="S141" s="5">
        <f>S140-3</f>
        <v>268</v>
      </c>
      <c r="T141" s="5" t="s">
        <v>4783</v>
      </c>
      <c r="U141" s="168">
        <v>171.8</v>
      </c>
      <c r="V141" s="99">
        <f t="shared" si="36"/>
        <v>209.73155726027403</v>
      </c>
      <c r="W141" s="32">
        <f t="shared" si="37"/>
        <v>213.92618840547951</v>
      </c>
      <c r="X141" s="32">
        <f t="shared" si="38"/>
        <v>218.12081955068501</v>
      </c>
      <c r="Y141" t="s">
        <v>25</v>
      </c>
      <c r="AA141" t="s">
        <v>25</v>
      </c>
      <c r="AH141" s="161">
        <v>121</v>
      </c>
      <c r="AI141" s="228" t="s">
        <v>4744</v>
      </c>
      <c r="AJ141" s="228">
        <v>50000000</v>
      </c>
      <c r="AK141" s="161">
        <v>11</v>
      </c>
      <c r="AL141" s="161">
        <f t="shared" si="39"/>
        <v>247</v>
      </c>
      <c r="AM141" s="228">
        <f t="shared" si="34"/>
        <v>12350000000</v>
      </c>
      <c r="AN141" s="161" t="s">
        <v>4746</v>
      </c>
      <c r="AP141" t="s">
        <v>25</v>
      </c>
    </row>
    <row r="142" spans="7:43">
      <c r="Q142" s="35">
        <v>40048573</v>
      </c>
      <c r="R142" s="5" t="s">
        <v>4615</v>
      </c>
      <c r="S142" s="5">
        <f>S141-3</f>
        <v>265</v>
      </c>
      <c r="T142" s="5" t="s">
        <v>4619</v>
      </c>
      <c r="U142" s="168">
        <v>498.9</v>
      </c>
      <c r="V142" s="99">
        <f t="shared" si="36"/>
        <v>607.90349917808226</v>
      </c>
      <c r="W142" s="32">
        <f t="shared" ref="W142:W164" si="41">V142*(1+$W$19/100)</f>
        <v>620.06156916164389</v>
      </c>
      <c r="X142" s="32">
        <f t="shared" ref="X142:X164" si="42">V142*(1+$X$19/100)</f>
        <v>632.21963914520552</v>
      </c>
      <c r="Y142" t="s">
        <v>25</v>
      </c>
      <c r="AH142" s="20">
        <v>122</v>
      </c>
      <c r="AI142" s="117" t="s">
        <v>972</v>
      </c>
      <c r="AJ142" s="117">
        <v>30000</v>
      </c>
      <c r="AK142" s="20">
        <v>3</v>
      </c>
      <c r="AL142" s="20">
        <f t="shared" si="39"/>
        <v>236</v>
      </c>
      <c r="AM142" s="117">
        <f t="shared" si="34"/>
        <v>7080000</v>
      </c>
      <c r="AN142" s="20"/>
    </row>
    <row r="143" spans="7:43">
      <c r="G143" s="99"/>
      <c r="H143" s="99"/>
      <c r="I143" s="99" t="s">
        <v>5328</v>
      </c>
      <c r="J143" s="1">
        <v>20000000</v>
      </c>
      <c r="Q143" s="35">
        <v>559461</v>
      </c>
      <c r="R143" s="5" t="s">
        <v>4653</v>
      </c>
      <c r="S143" s="5">
        <f>S142-7</f>
        <v>258</v>
      </c>
      <c r="T143" s="5" t="s">
        <v>4660</v>
      </c>
      <c r="U143" s="210">
        <v>508.1</v>
      </c>
      <c r="V143" s="99">
        <f t="shared" si="36"/>
        <v>616.38515835616454</v>
      </c>
      <c r="W143" s="32">
        <f t="shared" si="41"/>
        <v>628.71286152328787</v>
      </c>
      <c r="X143" s="32">
        <f t="shared" si="42"/>
        <v>641.04056469041109</v>
      </c>
      <c r="Y143" t="s">
        <v>25</v>
      </c>
      <c r="AH143" s="20">
        <v>123</v>
      </c>
      <c r="AI143" s="117" t="s">
        <v>4807</v>
      </c>
      <c r="AJ143" s="117">
        <v>600000</v>
      </c>
      <c r="AK143" s="20">
        <v>1</v>
      </c>
      <c r="AL143" s="20">
        <f t="shared" si="39"/>
        <v>233</v>
      </c>
      <c r="AM143" s="117">
        <f t="shared" si="34"/>
        <v>139800000</v>
      </c>
      <c r="AN143" s="20"/>
    </row>
    <row r="144" spans="7:43">
      <c r="G144" s="99">
        <f>P50</f>
        <v>305.10000000000002</v>
      </c>
      <c r="H144" s="99" t="s">
        <v>4234</v>
      </c>
      <c r="I144" s="99">
        <v>39042</v>
      </c>
      <c r="J144" s="1">
        <f>G144*I144</f>
        <v>11911714.200000001</v>
      </c>
      <c r="Q144" s="35">
        <v>622942</v>
      </c>
      <c r="R144" s="5" t="s">
        <v>4666</v>
      </c>
      <c r="S144" s="5">
        <f>S143-1</f>
        <v>257</v>
      </c>
      <c r="T144" s="5" t="s">
        <v>4667</v>
      </c>
      <c r="U144" s="210">
        <v>503.3</v>
      </c>
      <c r="V144" s="99">
        <f t="shared" si="36"/>
        <v>610.17609972602747</v>
      </c>
      <c r="W144" s="32">
        <f t="shared" si="41"/>
        <v>622.37962172054802</v>
      </c>
      <c r="X144" s="32">
        <f t="shared" si="42"/>
        <v>634.58314371506856</v>
      </c>
      <c r="Y144" t="s">
        <v>25</v>
      </c>
      <c r="AH144" s="20">
        <v>124</v>
      </c>
      <c r="AI144" s="117" t="s">
        <v>4814</v>
      </c>
      <c r="AJ144" s="117">
        <v>30000</v>
      </c>
      <c r="AK144" s="20">
        <v>3</v>
      </c>
      <c r="AL144" s="20">
        <f t="shared" si="39"/>
        <v>232</v>
      </c>
      <c r="AM144" s="117">
        <f t="shared" si="34"/>
        <v>6960000</v>
      </c>
      <c r="AN144" s="20"/>
    </row>
    <row r="145" spans="6:44">
      <c r="G145" s="99">
        <f>P48</f>
        <v>6500</v>
      </c>
      <c r="H145" s="99" t="s">
        <v>4384</v>
      </c>
      <c r="I145" s="99">
        <v>1150</v>
      </c>
      <c r="J145" s="1">
        <f>G145*I145</f>
        <v>7475000</v>
      </c>
      <c r="P145" s="114" t="s">
        <v>25</v>
      </c>
      <c r="Q145" s="35">
        <v>1472140</v>
      </c>
      <c r="R145" s="5" t="s">
        <v>4672</v>
      </c>
      <c r="S145" s="5">
        <f>S144-3</f>
        <v>254</v>
      </c>
      <c r="T145" s="5" t="s">
        <v>4674</v>
      </c>
      <c r="U145" s="168">
        <v>502</v>
      </c>
      <c r="V145" s="99">
        <f t="shared" si="36"/>
        <v>607.44475616438365</v>
      </c>
      <c r="W145" s="32">
        <f t="shared" si="41"/>
        <v>619.59365128767138</v>
      </c>
      <c r="X145" s="32">
        <f t="shared" si="42"/>
        <v>631.74254641095899</v>
      </c>
      <c r="Y145" s="122" t="s">
        <v>25</v>
      </c>
      <c r="AH145" s="20">
        <v>125</v>
      </c>
      <c r="AI145" s="117" t="s">
        <v>4820</v>
      </c>
      <c r="AJ145" s="117">
        <v>2250000</v>
      </c>
      <c r="AK145" s="20">
        <v>1</v>
      </c>
      <c r="AL145" s="20">
        <f t="shared" si="39"/>
        <v>229</v>
      </c>
      <c r="AM145" s="117">
        <f t="shared" ref="AM145:AM147" si="43">AJ145*AL145</f>
        <v>515250000</v>
      </c>
      <c r="AN145" s="20"/>
      <c r="AR145" t="s">
        <v>25</v>
      </c>
    </row>
    <row r="146" spans="6:44">
      <c r="G146" s="99"/>
      <c r="H146" s="99"/>
      <c r="I146" s="278">
        <f>J144+J145-J143</f>
        <v>-613285.79999999702</v>
      </c>
      <c r="J146" s="1"/>
      <c r="Q146" s="35">
        <v>2624850</v>
      </c>
      <c r="R146" s="5" t="s">
        <v>4676</v>
      </c>
      <c r="S146" s="5">
        <f>S145-1</f>
        <v>253</v>
      </c>
      <c r="T146" s="5" t="s">
        <v>5248</v>
      </c>
      <c r="U146" s="168">
        <v>481.7</v>
      </c>
      <c r="V146" s="99">
        <f t="shared" si="36"/>
        <v>582.51123178082196</v>
      </c>
      <c r="W146" s="32">
        <f t="shared" si="41"/>
        <v>594.16145641643845</v>
      </c>
      <c r="X146" s="32">
        <f t="shared" si="42"/>
        <v>605.81168105205484</v>
      </c>
      <c r="AH146" s="23">
        <v>126</v>
      </c>
      <c r="AI146" s="35" t="s">
        <v>4825</v>
      </c>
      <c r="AJ146" s="35">
        <v>-31412200</v>
      </c>
      <c r="AK146" s="23">
        <v>1</v>
      </c>
      <c r="AL146" s="20">
        <f t="shared" si="39"/>
        <v>228</v>
      </c>
      <c r="AM146" s="35">
        <f t="shared" si="43"/>
        <v>-7161981600</v>
      </c>
      <c r="AN146" s="23" t="s">
        <v>4809</v>
      </c>
    </row>
    <row r="147" spans="6:44">
      <c r="F147" t="s">
        <v>4810</v>
      </c>
      <c r="Q147" s="169">
        <v>6150141</v>
      </c>
      <c r="R147" s="213" t="s">
        <v>4862</v>
      </c>
      <c r="S147" s="213">
        <f>S146-64</f>
        <v>189</v>
      </c>
      <c r="T147" s="213" t="s">
        <v>4868</v>
      </c>
      <c r="U147" s="213">
        <v>180.6</v>
      </c>
      <c r="V147" s="99">
        <f t="shared" si="36"/>
        <v>209.52964602739729</v>
      </c>
      <c r="W147" s="32">
        <f t="shared" si="41"/>
        <v>213.72023894794523</v>
      </c>
      <c r="X147" s="32">
        <f t="shared" si="42"/>
        <v>217.9108318684932</v>
      </c>
      <c r="Z147" s="96"/>
      <c r="AH147" s="20">
        <v>127</v>
      </c>
      <c r="AI147" s="117" t="s">
        <v>4834</v>
      </c>
      <c r="AJ147" s="117">
        <v>70000</v>
      </c>
      <c r="AK147" s="20">
        <v>9</v>
      </c>
      <c r="AL147" s="20">
        <f t="shared" si="39"/>
        <v>227</v>
      </c>
      <c r="AM147" s="117">
        <f t="shared" si="43"/>
        <v>15890000</v>
      </c>
      <c r="AN147" s="20"/>
    </row>
    <row r="148" spans="6:44">
      <c r="Q148" s="169">
        <v>1399908</v>
      </c>
      <c r="R148" s="213" t="s">
        <v>4931</v>
      </c>
      <c r="S148" s="213">
        <f>S147-20</f>
        <v>169</v>
      </c>
      <c r="T148" s="213" t="s">
        <v>4932</v>
      </c>
      <c r="U148" s="213">
        <v>194</v>
      </c>
      <c r="V148" s="99">
        <f t="shared" si="36"/>
        <v>222.09970410958908</v>
      </c>
      <c r="W148" s="32">
        <f t="shared" si="41"/>
        <v>226.54169819178088</v>
      </c>
      <c r="X148" s="32">
        <f t="shared" si="42"/>
        <v>230.98369227397265</v>
      </c>
      <c r="Z148" s="96"/>
      <c r="AH148" s="99">
        <v>128</v>
      </c>
      <c r="AI148" s="113" t="s">
        <v>4841</v>
      </c>
      <c r="AJ148" s="113">
        <v>20000</v>
      </c>
      <c r="AK148" s="99">
        <v>10</v>
      </c>
      <c r="AL148" s="20">
        <f t="shared" si="39"/>
        <v>218</v>
      </c>
      <c r="AM148" s="117">
        <f t="shared" ref="AM148:AM149" si="44">AJ148*AL148</f>
        <v>4360000</v>
      </c>
      <c r="AN148" s="20"/>
      <c r="AP148" t="s">
        <v>25</v>
      </c>
    </row>
    <row r="149" spans="6:44">
      <c r="Q149" s="169">
        <v>1204033</v>
      </c>
      <c r="R149" s="213" t="s">
        <v>4941</v>
      </c>
      <c r="S149" s="213">
        <f>S148-7</f>
        <v>162</v>
      </c>
      <c r="T149" s="213" t="s">
        <v>4944</v>
      </c>
      <c r="U149" s="213">
        <v>218.5</v>
      </c>
      <c r="V149" s="99">
        <f t="shared" si="36"/>
        <v>248.97506301369867</v>
      </c>
      <c r="W149" s="32">
        <f t="shared" si="41"/>
        <v>253.95456427397266</v>
      </c>
      <c r="X149" s="32">
        <f t="shared" si="42"/>
        <v>258.93406553424666</v>
      </c>
      <c r="Z149" s="96"/>
      <c r="AH149" s="99">
        <v>129</v>
      </c>
      <c r="AI149" s="113" t="s">
        <v>4861</v>
      </c>
      <c r="AJ149" s="113">
        <v>1000000</v>
      </c>
      <c r="AK149" s="99">
        <v>1</v>
      </c>
      <c r="AL149" s="20">
        <f t="shared" si="39"/>
        <v>208</v>
      </c>
      <c r="AM149" s="117">
        <f t="shared" si="44"/>
        <v>208000000</v>
      </c>
      <c r="AN149" s="20"/>
    </row>
    <row r="150" spans="6:44">
      <c r="G150">
        <v>1200</v>
      </c>
      <c r="H150" t="s">
        <v>4811</v>
      </c>
      <c r="Q150" s="169">
        <v>8382674</v>
      </c>
      <c r="R150" s="213" t="s">
        <v>4951</v>
      </c>
      <c r="S150" s="213">
        <f>S149-7</f>
        <v>155</v>
      </c>
      <c r="T150" s="213" t="s">
        <v>4957</v>
      </c>
      <c r="U150" s="213">
        <v>192</v>
      </c>
      <c r="V150" s="99">
        <f t="shared" si="36"/>
        <v>217.74798904109591</v>
      </c>
      <c r="W150" s="32">
        <f t="shared" si="41"/>
        <v>222.10294882191783</v>
      </c>
      <c r="X150" s="32">
        <f t="shared" si="42"/>
        <v>226.45790860273976</v>
      </c>
      <c r="Y150" t="s">
        <v>25</v>
      </c>
      <c r="Z150" s="96"/>
      <c r="AA150" s="114"/>
      <c r="AC150" s="114"/>
      <c r="AD150" s="114"/>
      <c r="AH150" s="99">
        <v>130</v>
      </c>
      <c r="AI150" s="113" t="s">
        <v>4862</v>
      </c>
      <c r="AJ150" s="113">
        <v>65630227</v>
      </c>
      <c r="AK150" s="99">
        <v>0</v>
      </c>
      <c r="AL150" s="20">
        <f t="shared" si="39"/>
        <v>207</v>
      </c>
      <c r="AM150" s="117">
        <f t="shared" ref="AM150:AM177" si="45">AJ150*AL150</f>
        <v>13585456989</v>
      </c>
      <c r="AN150" s="20" t="s">
        <v>4865</v>
      </c>
      <c r="AP150" t="s">
        <v>25</v>
      </c>
      <c r="AR150" t="s">
        <v>25</v>
      </c>
    </row>
    <row r="151" spans="6:44">
      <c r="G151">
        <v>1350</v>
      </c>
      <c r="H151" t="s">
        <v>4812</v>
      </c>
      <c r="J151" t="s">
        <v>25</v>
      </c>
      <c r="Q151" s="169">
        <v>190884649</v>
      </c>
      <c r="R151" s="213" t="s">
        <v>4970</v>
      </c>
      <c r="S151" s="213">
        <f>S150-9</f>
        <v>146</v>
      </c>
      <c r="T151" s="213" t="s">
        <v>4973</v>
      </c>
      <c r="U151" s="213">
        <v>193.6</v>
      </c>
      <c r="V151" s="99">
        <f t="shared" si="36"/>
        <v>218.22592000000003</v>
      </c>
      <c r="W151" s="32">
        <f t="shared" si="41"/>
        <v>222.59043840000004</v>
      </c>
      <c r="X151" s="32">
        <f t="shared" si="42"/>
        <v>226.95495680000005</v>
      </c>
      <c r="Z151" s="96"/>
      <c r="AA151" s="114"/>
      <c r="AC151" s="114"/>
      <c r="AH151" s="99">
        <v>131</v>
      </c>
      <c r="AI151" s="113" t="s">
        <v>4862</v>
      </c>
      <c r="AJ151" s="113">
        <v>-3500000</v>
      </c>
      <c r="AK151" s="99">
        <v>6</v>
      </c>
      <c r="AL151" s="20">
        <f t="shared" si="39"/>
        <v>207</v>
      </c>
      <c r="AM151" s="117">
        <f t="shared" si="45"/>
        <v>-724500000</v>
      </c>
      <c r="AN151" s="20" t="s">
        <v>4864</v>
      </c>
    </row>
    <row r="152" spans="6:44">
      <c r="G152">
        <v>1050</v>
      </c>
      <c r="H152" t="s">
        <v>4813</v>
      </c>
      <c r="Q152" s="169">
        <v>2099962</v>
      </c>
      <c r="R152" s="213" t="s">
        <v>4972</v>
      </c>
      <c r="S152" s="213">
        <f>S151-1</f>
        <v>145</v>
      </c>
      <c r="T152" s="213" t="s">
        <v>4976</v>
      </c>
      <c r="U152" s="213">
        <v>196.5</v>
      </c>
      <c r="V152" s="99">
        <f t="shared" si="36"/>
        <v>221.34406027397262</v>
      </c>
      <c r="W152" s="32">
        <f t="shared" si="41"/>
        <v>225.77094147945206</v>
      </c>
      <c r="X152" s="32">
        <f t="shared" si="42"/>
        <v>230.19782268493154</v>
      </c>
      <c r="Y152" t="s">
        <v>25</v>
      </c>
      <c r="Z152" s="96"/>
      <c r="AA152" s="114"/>
      <c r="AC152" s="114"/>
      <c r="AD152" s="114"/>
      <c r="AH152" s="99">
        <v>132</v>
      </c>
      <c r="AI152" s="113" t="s">
        <v>4875</v>
      </c>
      <c r="AJ152" s="113">
        <v>2520000</v>
      </c>
      <c r="AK152" s="99">
        <v>12</v>
      </c>
      <c r="AL152" s="20">
        <f t="shared" si="39"/>
        <v>201</v>
      </c>
      <c r="AM152" s="117">
        <f t="shared" si="45"/>
        <v>506520000</v>
      </c>
      <c r="AN152" s="20"/>
    </row>
    <row r="153" spans="6:44">
      <c r="Q153" s="169">
        <v>130756</v>
      </c>
      <c r="R153" s="213" t="s">
        <v>4977</v>
      </c>
      <c r="S153" s="213">
        <f>S152-1</f>
        <v>144</v>
      </c>
      <c r="T153" s="213" t="s">
        <v>4978</v>
      </c>
      <c r="U153" s="213">
        <v>197.8</v>
      </c>
      <c r="V153" s="99">
        <f t="shared" si="36"/>
        <v>222.65668602739731</v>
      </c>
      <c r="W153" s="32">
        <f t="shared" si="41"/>
        <v>227.10981974794527</v>
      </c>
      <c r="X153" s="32">
        <f t="shared" si="42"/>
        <v>231.56295346849322</v>
      </c>
      <c r="Y153" s="96" t="s">
        <v>25</v>
      </c>
      <c r="Z153" s="96"/>
      <c r="AH153" s="99">
        <v>133</v>
      </c>
      <c r="AI153" s="113" t="s">
        <v>4910</v>
      </c>
      <c r="AJ153" s="113">
        <v>1400000</v>
      </c>
      <c r="AK153" s="99">
        <v>4</v>
      </c>
      <c r="AL153" s="20">
        <f t="shared" si="39"/>
        <v>189</v>
      </c>
      <c r="AM153" s="117">
        <f t="shared" si="45"/>
        <v>264600000</v>
      </c>
      <c r="AN153" s="20"/>
    </row>
    <row r="154" spans="6:44">
      <c r="Q154" s="169">
        <v>795874</v>
      </c>
      <c r="R154" s="213" t="s">
        <v>4989</v>
      </c>
      <c r="S154" s="213">
        <f>S153-6</f>
        <v>138</v>
      </c>
      <c r="T154" s="213" t="s">
        <v>4990</v>
      </c>
      <c r="U154" s="213">
        <v>198.1</v>
      </c>
      <c r="V154" s="99">
        <f t="shared" si="36"/>
        <v>222.08258301369864</v>
      </c>
      <c r="W154" s="32">
        <f t="shared" si="41"/>
        <v>226.52423467397261</v>
      </c>
      <c r="X154" s="32">
        <f t="shared" si="42"/>
        <v>230.96588633424659</v>
      </c>
      <c r="Y154" s="122" t="s">
        <v>25</v>
      </c>
      <c r="Z154" s="96"/>
      <c r="AH154" s="99">
        <v>134</v>
      </c>
      <c r="AI154" s="113" t="s">
        <v>4935</v>
      </c>
      <c r="AJ154" s="113">
        <v>1550000</v>
      </c>
      <c r="AK154" s="99">
        <v>2</v>
      </c>
      <c r="AL154" s="20">
        <f t="shared" si="39"/>
        <v>185</v>
      </c>
      <c r="AM154" s="117">
        <f t="shared" si="45"/>
        <v>286750000</v>
      </c>
      <c r="AN154" s="20"/>
    </row>
    <row r="155" spans="6:44">
      <c r="Q155" s="169">
        <v>400348</v>
      </c>
      <c r="R155" s="213" t="s">
        <v>4992</v>
      </c>
      <c r="S155" s="213">
        <f>S154-1</f>
        <v>137</v>
      </c>
      <c r="T155" s="213" t="s">
        <v>4994</v>
      </c>
      <c r="U155" s="213">
        <v>199.3</v>
      </c>
      <c r="V155" s="99">
        <f t="shared" si="36"/>
        <v>223.27497095890413</v>
      </c>
      <c r="W155" s="32">
        <f t="shared" si="41"/>
        <v>227.74047037808222</v>
      </c>
      <c r="X155" s="32">
        <f t="shared" si="42"/>
        <v>232.20596979726031</v>
      </c>
      <c r="Y155" s="96"/>
      <c r="Z155" s="96"/>
      <c r="AH155" s="99">
        <v>135</v>
      </c>
      <c r="AI155" s="113" t="s">
        <v>4882</v>
      </c>
      <c r="AJ155" s="113">
        <v>250000</v>
      </c>
      <c r="AK155" s="99">
        <v>6</v>
      </c>
      <c r="AL155" s="20">
        <f t="shared" si="39"/>
        <v>183</v>
      </c>
      <c r="AM155" s="117">
        <f t="shared" si="45"/>
        <v>45750000</v>
      </c>
      <c r="AN155" s="20"/>
    </row>
    <row r="156" spans="6:44">
      <c r="Q156" s="169">
        <v>5896463</v>
      </c>
      <c r="R156" s="213" t="s">
        <v>5003</v>
      </c>
      <c r="S156" s="213">
        <f>S155-4</f>
        <v>133</v>
      </c>
      <c r="T156" s="213" t="s">
        <v>5004</v>
      </c>
      <c r="U156" s="213">
        <v>197.4</v>
      </c>
      <c r="V156" s="99">
        <f t="shared" si="36"/>
        <v>220.54068821917809</v>
      </c>
      <c r="W156" s="32">
        <f t="shared" si="41"/>
        <v>224.95150198356166</v>
      </c>
      <c r="X156" s="32">
        <f t="shared" si="42"/>
        <v>229.36231574794522</v>
      </c>
      <c r="Y156" s="122" t="s">
        <v>25</v>
      </c>
      <c r="Z156" s="96"/>
      <c r="AH156" s="99">
        <v>136</v>
      </c>
      <c r="AI156" s="113" t="s">
        <v>4945</v>
      </c>
      <c r="AJ156" s="113">
        <v>-48527480</v>
      </c>
      <c r="AK156" s="99">
        <v>14</v>
      </c>
      <c r="AL156" s="20">
        <f t="shared" si="39"/>
        <v>177</v>
      </c>
      <c r="AM156" s="117">
        <f t="shared" si="45"/>
        <v>-8589363960</v>
      </c>
      <c r="AN156" s="20" t="s">
        <v>4947</v>
      </c>
    </row>
    <row r="157" spans="6:44">
      <c r="Q157" s="169">
        <v>1499873</v>
      </c>
      <c r="R157" s="213" t="s">
        <v>5016</v>
      </c>
      <c r="S157" s="213">
        <f>S156-8</f>
        <v>125</v>
      </c>
      <c r="T157" s="213" t="s">
        <v>5018</v>
      </c>
      <c r="U157" s="213">
        <v>200.1</v>
      </c>
      <c r="V157" s="99">
        <f t="shared" ref="V157:V188" si="46">U157*(1+$R$121+$Q$15*S157/36500)</f>
        <v>222.32919123287672</v>
      </c>
      <c r="W157" s="32">
        <f t="shared" si="41"/>
        <v>226.77577505753428</v>
      </c>
      <c r="X157" s="32">
        <f t="shared" si="42"/>
        <v>231.2223588821918</v>
      </c>
      <c r="Y157" s="96"/>
      <c r="Z157" s="96"/>
      <c r="AH157" s="99">
        <v>137</v>
      </c>
      <c r="AI157" s="113" t="s">
        <v>4972</v>
      </c>
      <c r="AJ157" s="113">
        <v>2100000</v>
      </c>
      <c r="AK157" s="99">
        <v>1</v>
      </c>
      <c r="AL157" s="20">
        <f t="shared" si="39"/>
        <v>163</v>
      </c>
      <c r="AM157" s="117">
        <f t="shared" si="45"/>
        <v>342300000</v>
      </c>
      <c r="AN157" s="20"/>
    </row>
    <row r="158" spans="6:44">
      <c r="P158" s="114"/>
      <c r="Q158" s="169">
        <v>25141103</v>
      </c>
      <c r="R158" s="213" t="s">
        <v>5040</v>
      </c>
      <c r="S158" s="213">
        <f>S157-7</f>
        <v>118</v>
      </c>
      <c r="T158" s="213" t="s">
        <v>5043</v>
      </c>
      <c r="U158" s="213">
        <v>211.3</v>
      </c>
      <c r="V158" s="99">
        <f t="shared" si="46"/>
        <v>233.63875178082193</v>
      </c>
      <c r="W158" s="32">
        <f t="shared" si="41"/>
        <v>238.31152681643837</v>
      </c>
      <c r="X158" s="32">
        <f t="shared" si="42"/>
        <v>242.98430185205481</v>
      </c>
      <c r="Y158" s="96"/>
      <c r="Z158" s="96"/>
      <c r="AH158" s="99">
        <v>138</v>
      </c>
      <c r="AI158" s="113" t="s">
        <v>4977</v>
      </c>
      <c r="AJ158" s="113">
        <v>100000</v>
      </c>
      <c r="AK158" s="99">
        <v>4</v>
      </c>
      <c r="AL158" s="20">
        <f>AL159+AK158</f>
        <v>162</v>
      </c>
      <c r="AM158" s="117">
        <f t="shared" si="45"/>
        <v>16200000</v>
      </c>
      <c r="AN158" s="20"/>
      <c r="AQ158" t="s">
        <v>25</v>
      </c>
    </row>
    <row r="159" spans="6:44">
      <c r="P159" s="114"/>
      <c r="Q159" s="169">
        <v>120581</v>
      </c>
      <c r="R159" s="213" t="s">
        <v>5044</v>
      </c>
      <c r="S159" s="213">
        <f>S158-1</f>
        <v>117</v>
      </c>
      <c r="T159" s="213" t="s">
        <v>5045</v>
      </c>
      <c r="U159" s="213">
        <v>210.2</v>
      </c>
      <c r="V159" s="99">
        <f t="shared" si="46"/>
        <v>232.2612098630137</v>
      </c>
      <c r="W159" s="32">
        <f t="shared" si="41"/>
        <v>236.90643406027399</v>
      </c>
      <c r="X159" s="32">
        <f t="shared" si="42"/>
        <v>241.55165825753426</v>
      </c>
      <c r="Y159" s="96" t="s">
        <v>25</v>
      </c>
      <c r="Z159" s="96"/>
      <c r="AH159" s="99">
        <v>139</v>
      </c>
      <c r="AI159" s="113" t="s">
        <v>4983</v>
      </c>
      <c r="AJ159" s="113">
        <v>900000</v>
      </c>
      <c r="AK159" s="99">
        <v>0</v>
      </c>
      <c r="AL159" s="20">
        <f t="shared" ref="AL159:AL168" si="47">AL160+AK159</f>
        <v>158</v>
      </c>
      <c r="AM159" s="117">
        <f t="shared" ref="AM159:AM168" si="48">AJ159*AL159</f>
        <v>142200000</v>
      </c>
      <c r="AN159" s="20"/>
      <c r="AP159" t="s">
        <v>25</v>
      </c>
    </row>
    <row r="160" spans="6:44">
      <c r="P160" s="114"/>
      <c r="Q160" s="169">
        <v>500951</v>
      </c>
      <c r="R160" s="213" t="s">
        <v>5044</v>
      </c>
      <c r="S160" s="213">
        <f>S159</f>
        <v>117</v>
      </c>
      <c r="T160" s="213" t="s">
        <v>5049</v>
      </c>
      <c r="U160" s="213">
        <v>209.6</v>
      </c>
      <c r="V160" s="99">
        <f t="shared" si="46"/>
        <v>231.59823780821918</v>
      </c>
      <c r="W160" s="32">
        <f t="shared" si="41"/>
        <v>236.23020256438357</v>
      </c>
      <c r="X160" s="32">
        <f t="shared" si="42"/>
        <v>240.86216732054797</v>
      </c>
      <c r="Y160" s="96"/>
      <c r="AH160" s="99">
        <v>140</v>
      </c>
      <c r="AI160" s="113" t="s">
        <v>4983</v>
      </c>
      <c r="AJ160" s="113">
        <v>1100000</v>
      </c>
      <c r="AK160" s="99">
        <v>0</v>
      </c>
      <c r="AL160" s="20">
        <f t="shared" si="47"/>
        <v>158</v>
      </c>
      <c r="AM160" s="117">
        <f t="shared" si="48"/>
        <v>173800000</v>
      </c>
      <c r="AN160" s="20" t="s">
        <v>5001</v>
      </c>
      <c r="AQ160" t="s">
        <v>25</v>
      </c>
    </row>
    <row r="161" spans="15:43">
      <c r="Q161" s="169">
        <v>493081</v>
      </c>
      <c r="R161" s="213" t="s">
        <v>5052</v>
      </c>
      <c r="S161" s="213">
        <f>S160-1</f>
        <v>116</v>
      </c>
      <c r="T161" s="213" t="s">
        <v>5054</v>
      </c>
      <c r="U161" s="213">
        <v>205.1</v>
      </c>
      <c r="V161" s="99">
        <f t="shared" si="46"/>
        <v>226.46861041095895</v>
      </c>
      <c r="W161" s="32">
        <f t="shared" si="41"/>
        <v>230.99798261917812</v>
      </c>
      <c r="X161" s="32">
        <f t="shared" si="42"/>
        <v>235.52735482739732</v>
      </c>
      <c r="Y161" s="96"/>
      <c r="AH161" s="99">
        <v>141</v>
      </c>
      <c r="AI161" s="113" t="s">
        <v>4983</v>
      </c>
      <c r="AJ161" s="113">
        <v>115000</v>
      </c>
      <c r="AK161" s="99"/>
      <c r="AL161" s="20">
        <f t="shared" si="47"/>
        <v>158</v>
      </c>
      <c r="AM161" s="117">
        <f t="shared" si="48"/>
        <v>18170000</v>
      </c>
      <c r="AN161" s="20"/>
      <c r="AQ161" t="s">
        <v>25</v>
      </c>
    </row>
    <row r="162" spans="15:43">
      <c r="Q162" s="169">
        <v>43287917</v>
      </c>
      <c r="R162" s="213" t="s">
        <v>5056</v>
      </c>
      <c r="S162" s="213">
        <f>S161-3</f>
        <v>113</v>
      </c>
      <c r="T162" s="213" t="s">
        <v>5079</v>
      </c>
      <c r="U162" s="213">
        <v>203.6</v>
      </c>
      <c r="V162" s="99">
        <f t="shared" si="46"/>
        <v>224.34377205479456</v>
      </c>
      <c r="W162" s="32">
        <f t="shared" si="41"/>
        <v>228.83064749589045</v>
      </c>
      <c r="X162" s="32">
        <f t="shared" si="42"/>
        <v>233.31752293698634</v>
      </c>
      <c r="Y162" s="96"/>
      <c r="AH162" s="99">
        <v>142</v>
      </c>
      <c r="AI162" s="113" t="s">
        <v>4992</v>
      </c>
      <c r="AJ162" s="113">
        <v>-1100000</v>
      </c>
      <c r="AK162" s="99"/>
      <c r="AL162" s="20">
        <f t="shared" si="47"/>
        <v>158</v>
      </c>
      <c r="AM162" s="117">
        <f t="shared" si="48"/>
        <v>-173800000</v>
      </c>
      <c r="AN162" s="20" t="s">
        <v>5002</v>
      </c>
      <c r="AQ162" t="s">
        <v>25</v>
      </c>
    </row>
    <row r="163" spans="15:43">
      <c r="Q163" s="169">
        <v>3195995</v>
      </c>
      <c r="R163" s="213" t="s">
        <v>5083</v>
      </c>
      <c r="S163" s="213">
        <f>S162-11</f>
        <v>102</v>
      </c>
      <c r="T163" s="213" t="s">
        <v>5084</v>
      </c>
      <c r="U163" s="213">
        <v>228</v>
      </c>
      <c r="V163" s="99">
        <f t="shared" si="46"/>
        <v>249.3058191780822</v>
      </c>
      <c r="W163" s="32">
        <f t="shared" si="41"/>
        <v>254.29193556164384</v>
      </c>
      <c r="X163" s="32">
        <f t="shared" si="42"/>
        <v>259.2780519452055</v>
      </c>
      <c r="Y163" s="122" t="s">
        <v>25</v>
      </c>
      <c r="AH163" s="99">
        <v>143</v>
      </c>
      <c r="AI163" s="113" t="s">
        <v>4992</v>
      </c>
      <c r="AJ163" s="113">
        <v>900000</v>
      </c>
      <c r="AK163" s="99">
        <v>1</v>
      </c>
      <c r="AL163" s="20">
        <f t="shared" si="47"/>
        <v>158</v>
      </c>
      <c r="AM163" s="117">
        <f t="shared" si="48"/>
        <v>142200000</v>
      </c>
      <c r="AN163" s="20" t="s">
        <v>5001</v>
      </c>
    </row>
    <row r="164" spans="15:43">
      <c r="P164" s="114"/>
      <c r="Q164" s="169">
        <v>5897690</v>
      </c>
      <c r="R164" s="213" t="s">
        <v>5093</v>
      </c>
      <c r="S164" s="213">
        <f>S163-10</f>
        <v>92</v>
      </c>
      <c r="T164" s="213" t="s">
        <v>5096</v>
      </c>
      <c r="U164" s="213">
        <v>236</v>
      </c>
      <c r="V164" s="99">
        <f t="shared" si="46"/>
        <v>256.2429808219178</v>
      </c>
      <c r="W164" s="32">
        <f t="shared" si="41"/>
        <v>261.36784043835615</v>
      </c>
      <c r="X164" s="32">
        <f t="shared" si="42"/>
        <v>266.49270005479451</v>
      </c>
      <c r="Y164" s="96"/>
      <c r="AH164" s="99">
        <v>144</v>
      </c>
      <c r="AI164" s="113" t="s">
        <v>4999</v>
      </c>
      <c r="AJ164" s="113">
        <v>2000000</v>
      </c>
      <c r="AK164" s="99">
        <v>0</v>
      </c>
      <c r="AL164" s="20">
        <f t="shared" si="47"/>
        <v>157</v>
      </c>
      <c r="AM164" s="117">
        <f t="shared" si="48"/>
        <v>314000000</v>
      </c>
      <c r="AN164" s="20"/>
    </row>
    <row r="165" spans="15:43">
      <c r="Q165" s="169">
        <v>1203628</v>
      </c>
      <c r="R165" s="213" t="s">
        <v>5100</v>
      </c>
      <c r="S165" s="213">
        <f>S164-2</f>
        <v>90</v>
      </c>
      <c r="T165" s="213" t="s">
        <v>5101</v>
      </c>
      <c r="U165" s="213">
        <v>235.1</v>
      </c>
      <c r="V165" s="99">
        <f t="shared" si="46"/>
        <v>254.90508164383567</v>
      </c>
      <c r="W165" s="32">
        <f t="shared" ref="W165:W182" si="49">V165*(1+$W$19/100)</f>
        <v>260.00318327671238</v>
      </c>
      <c r="X165" s="32">
        <f t="shared" ref="X165:X182" si="50">V165*(1+$X$19/100)</f>
        <v>265.10128490958908</v>
      </c>
      <c r="Y165" s="96"/>
      <c r="AH165" s="99">
        <v>145</v>
      </c>
      <c r="AI165" s="113" t="s">
        <v>4999</v>
      </c>
      <c r="AJ165" s="113">
        <v>360000</v>
      </c>
      <c r="AK165" s="99">
        <v>1</v>
      </c>
      <c r="AL165" s="20">
        <f t="shared" si="47"/>
        <v>157</v>
      </c>
      <c r="AM165" s="117">
        <f t="shared" si="48"/>
        <v>56520000</v>
      </c>
      <c r="AN165" s="20"/>
    </row>
    <row r="166" spans="15:43">
      <c r="P166" s="114"/>
      <c r="Q166" s="169">
        <v>2598983</v>
      </c>
      <c r="R166" s="213" t="s">
        <v>5098</v>
      </c>
      <c r="S166" s="213">
        <f>S165-2</f>
        <v>88</v>
      </c>
      <c r="T166" s="213" t="s">
        <v>5107</v>
      </c>
      <c r="U166" s="213">
        <v>233.2</v>
      </c>
      <c r="V166" s="99">
        <f t="shared" si="46"/>
        <v>252.48723726027401</v>
      </c>
      <c r="W166" s="32">
        <f t="shared" si="49"/>
        <v>257.5369820054795</v>
      </c>
      <c r="X166" s="32">
        <f t="shared" si="50"/>
        <v>262.58672675068499</v>
      </c>
      <c r="Y166" t="s">
        <v>25</v>
      </c>
      <c r="AH166" s="99">
        <v>146</v>
      </c>
      <c r="AI166" s="113" t="s">
        <v>5000</v>
      </c>
      <c r="AJ166" s="113">
        <v>3000000</v>
      </c>
      <c r="AK166" s="99">
        <v>1</v>
      </c>
      <c r="AL166" s="20">
        <f t="shared" si="47"/>
        <v>156</v>
      </c>
      <c r="AM166" s="117">
        <f t="shared" si="48"/>
        <v>468000000</v>
      </c>
      <c r="AN166" s="20"/>
    </row>
    <row r="167" spans="15:43">
      <c r="O167" s="96"/>
      <c r="Q167" s="169">
        <v>8061801</v>
      </c>
      <c r="R167" s="213" t="s">
        <v>5099</v>
      </c>
      <c r="S167" s="213">
        <f>S166-6</f>
        <v>82</v>
      </c>
      <c r="T167" s="213" t="s">
        <v>5110</v>
      </c>
      <c r="U167" s="213">
        <v>240.4</v>
      </c>
      <c r="V167" s="99">
        <f t="shared" si="46"/>
        <v>259.17622794520548</v>
      </c>
      <c r="W167" s="32">
        <f t="shared" si="49"/>
        <v>264.35975250410962</v>
      </c>
      <c r="X167" s="32">
        <f t="shared" si="50"/>
        <v>269.5432770630137</v>
      </c>
      <c r="AH167" s="99">
        <v>147</v>
      </c>
      <c r="AI167" s="113" t="s">
        <v>4997</v>
      </c>
      <c r="AJ167" s="113">
        <v>-658226</v>
      </c>
      <c r="AK167" s="99">
        <v>1</v>
      </c>
      <c r="AL167" s="20">
        <f t="shared" si="47"/>
        <v>155</v>
      </c>
      <c r="AM167" s="117">
        <f t="shared" si="48"/>
        <v>-102025030</v>
      </c>
      <c r="AN167" s="20"/>
    </row>
    <row r="168" spans="15:43">
      <c r="O168" s="96"/>
      <c r="Q168" s="169">
        <v>45807179</v>
      </c>
      <c r="R168" s="213" t="s">
        <v>5115</v>
      </c>
      <c r="S168" s="213">
        <f>S167-1</f>
        <v>81</v>
      </c>
      <c r="T168" s="213" t="s">
        <v>5383</v>
      </c>
      <c r="U168" s="213">
        <v>241.4</v>
      </c>
      <c r="V168" s="99">
        <f t="shared" si="46"/>
        <v>260.06914849315069</v>
      </c>
      <c r="W168" s="32">
        <f t="shared" si="49"/>
        <v>265.2705314630137</v>
      </c>
      <c r="X168" s="32">
        <f t="shared" si="50"/>
        <v>270.4719144328767</v>
      </c>
      <c r="Y168" t="s">
        <v>25</v>
      </c>
      <c r="AH168" s="99">
        <v>148</v>
      </c>
      <c r="AI168" s="113" t="s">
        <v>5003</v>
      </c>
      <c r="AJ168" s="113">
        <v>1000000</v>
      </c>
      <c r="AK168" s="99">
        <v>15</v>
      </c>
      <c r="AL168" s="20">
        <f t="shared" si="47"/>
        <v>154</v>
      </c>
      <c r="AM168" s="117">
        <f t="shared" si="48"/>
        <v>154000000</v>
      </c>
      <c r="AN168" s="20"/>
      <c r="AP168" t="s">
        <v>25</v>
      </c>
    </row>
    <row r="169" spans="15:43">
      <c r="Q169" s="169">
        <v>6188</v>
      </c>
      <c r="R169" s="213" t="s">
        <v>5172</v>
      </c>
      <c r="S169" s="213">
        <f>S168-33</f>
        <v>48</v>
      </c>
      <c r="T169" s="213" t="s">
        <v>5232</v>
      </c>
      <c r="U169" s="213">
        <v>6160</v>
      </c>
      <c r="V169" s="99">
        <f t="shared" si="46"/>
        <v>6480.4550136986309</v>
      </c>
      <c r="W169" s="32">
        <f t="shared" si="49"/>
        <v>6610.064113972604</v>
      </c>
      <c r="X169" s="32">
        <f t="shared" si="50"/>
        <v>6739.6732142465762</v>
      </c>
      <c r="AH169" s="99">
        <v>149</v>
      </c>
      <c r="AI169" s="113" t="s">
        <v>5040</v>
      </c>
      <c r="AJ169" s="113">
        <v>1130250</v>
      </c>
      <c r="AK169" s="99">
        <v>5</v>
      </c>
      <c r="AL169" s="20">
        <f t="shared" si="39"/>
        <v>139</v>
      </c>
      <c r="AM169" s="117">
        <f t="shared" si="45"/>
        <v>157104750</v>
      </c>
      <c r="AN169" s="20"/>
    </row>
    <row r="170" spans="15:43">
      <c r="Q170" s="169">
        <v>9373</v>
      </c>
      <c r="R170" s="213" t="s">
        <v>5228</v>
      </c>
      <c r="S170" s="213">
        <f>S169-21</f>
        <v>27</v>
      </c>
      <c r="T170" s="213" t="s">
        <v>5306</v>
      </c>
      <c r="U170" s="213">
        <v>4665</v>
      </c>
      <c r="V170" s="99">
        <f t="shared" si="46"/>
        <v>4832.5310136986309</v>
      </c>
      <c r="W170" s="32">
        <f t="shared" si="49"/>
        <v>4929.1816339726038</v>
      </c>
      <c r="X170" s="32">
        <f t="shared" si="50"/>
        <v>5025.8322542465767</v>
      </c>
      <c r="Y170" t="s">
        <v>25</v>
      </c>
      <c r="AE170" s="96" t="s">
        <v>25</v>
      </c>
      <c r="AH170" s="99">
        <v>150</v>
      </c>
      <c r="AI170" s="113" t="s">
        <v>5056</v>
      </c>
      <c r="AJ170" s="113">
        <v>206000</v>
      </c>
      <c r="AK170" s="99">
        <v>2</v>
      </c>
      <c r="AL170" s="20">
        <f t="shared" si="39"/>
        <v>134</v>
      </c>
      <c r="AM170" s="117">
        <f t="shared" si="45"/>
        <v>27604000</v>
      </c>
      <c r="AN170" s="20"/>
    </row>
    <row r="171" spans="15:43">
      <c r="Q171" s="169">
        <v>298455</v>
      </c>
      <c r="R171" s="213" t="s">
        <v>5247</v>
      </c>
      <c r="S171" s="213">
        <f>S170-9</f>
        <v>18</v>
      </c>
      <c r="T171" s="213" t="s">
        <v>5249</v>
      </c>
      <c r="U171" s="213">
        <v>199</v>
      </c>
      <c r="V171" s="99">
        <f t="shared" si="46"/>
        <v>204.77263561643838</v>
      </c>
      <c r="W171" s="32">
        <f t="shared" si="49"/>
        <v>208.86808832876716</v>
      </c>
      <c r="X171" s="32">
        <f t="shared" si="50"/>
        <v>212.96354104109591</v>
      </c>
      <c r="AH171" s="99">
        <v>151</v>
      </c>
      <c r="AI171" s="113" t="s">
        <v>5063</v>
      </c>
      <c r="AJ171" s="113">
        <v>50000</v>
      </c>
      <c r="AK171" s="99">
        <v>2</v>
      </c>
      <c r="AL171" s="20">
        <f t="shared" si="39"/>
        <v>132</v>
      </c>
      <c r="AM171" s="117">
        <f t="shared" si="45"/>
        <v>6600000</v>
      </c>
      <c r="AN171" s="20"/>
    </row>
    <row r="172" spans="15:43">
      <c r="Q172" s="169">
        <v>6702018</v>
      </c>
      <c r="R172" s="213" t="s">
        <v>5275</v>
      </c>
      <c r="S172" s="213">
        <f>S171-3</f>
        <v>15</v>
      </c>
      <c r="T172" s="213" t="s">
        <v>5279</v>
      </c>
      <c r="U172" s="213">
        <v>7413</v>
      </c>
      <c r="V172" s="99">
        <f t="shared" si="46"/>
        <v>7610.9778739726034</v>
      </c>
      <c r="W172" s="32">
        <f t="shared" si="49"/>
        <v>7763.1974314520558</v>
      </c>
      <c r="X172" s="32">
        <f t="shared" si="50"/>
        <v>7915.4169889315081</v>
      </c>
      <c r="Y172" t="s">
        <v>25</v>
      </c>
      <c r="AH172" s="99">
        <v>152</v>
      </c>
      <c r="AI172" s="113" t="s">
        <v>5070</v>
      </c>
      <c r="AJ172" s="113">
        <v>105000</v>
      </c>
      <c r="AK172" s="99">
        <v>4</v>
      </c>
      <c r="AL172" s="20">
        <f t="shared" si="39"/>
        <v>130</v>
      </c>
      <c r="AM172" s="117">
        <f t="shared" si="45"/>
        <v>13650000</v>
      </c>
      <c r="AN172" s="20"/>
    </row>
    <row r="173" spans="15:43">
      <c r="Q173" s="169">
        <v>1068775</v>
      </c>
      <c r="R173" s="213" t="s">
        <v>5280</v>
      </c>
      <c r="S173" s="213">
        <f>S172-1</f>
        <v>14</v>
      </c>
      <c r="T173" s="213" t="s">
        <v>5283</v>
      </c>
      <c r="U173" s="213">
        <v>7046</v>
      </c>
      <c r="V173" s="99">
        <f t="shared" si="46"/>
        <v>7228.7713095890422</v>
      </c>
      <c r="W173" s="32">
        <f t="shared" si="49"/>
        <v>7373.3467357808231</v>
      </c>
      <c r="X173" s="32">
        <f t="shared" si="50"/>
        <v>7517.922161972604</v>
      </c>
      <c r="Y173" t="s">
        <v>25</v>
      </c>
      <c r="AH173" s="99">
        <v>153</v>
      </c>
      <c r="AI173" s="113" t="s">
        <v>5075</v>
      </c>
      <c r="AJ173" s="113">
        <v>5000000</v>
      </c>
      <c r="AK173" s="99">
        <v>1</v>
      </c>
      <c r="AL173" s="20">
        <f t="shared" si="39"/>
        <v>126</v>
      </c>
      <c r="AM173" s="117">
        <f t="shared" si="45"/>
        <v>630000000</v>
      </c>
      <c r="AN173" s="20"/>
    </row>
    <row r="174" spans="15:43">
      <c r="Q174" s="169">
        <v>1633018</v>
      </c>
      <c r="R174" s="213" t="s">
        <v>5286</v>
      </c>
      <c r="S174" s="213">
        <f>S173-1</f>
        <v>13</v>
      </c>
      <c r="T174" s="213" t="s">
        <v>5290</v>
      </c>
      <c r="U174" s="213">
        <v>812.7</v>
      </c>
      <c r="V174" s="99">
        <f t="shared" si="46"/>
        <v>833.1577742465754</v>
      </c>
      <c r="W174" s="32">
        <f t="shared" si="49"/>
        <v>849.82092973150691</v>
      </c>
      <c r="X174" s="32">
        <f t="shared" si="50"/>
        <v>866.48408521643842</v>
      </c>
      <c r="Y174" t="s">
        <v>25</v>
      </c>
      <c r="Z174" t="s">
        <v>25</v>
      </c>
      <c r="AH174" s="99">
        <v>154</v>
      </c>
      <c r="AI174" s="113" t="s">
        <v>5076</v>
      </c>
      <c r="AJ174" s="113">
        <v>2500000</v>
      </c>
      <c r="AK174" s="99">
        <v>2</v>
      </c>
      <c r="AL174" s="20">
        <f t="shared" si="39"/>
        <v>125</v>
      </c>
      <c r="AM174" s="117">
        <f t="shared" si="45"/>
        <v>312500000</v>
      </c>
      <c r="AN174" s="20"/>
    </row>
    <row r="175" spans="15:43">
      <c r="Q175" s="169">
        <v>12307678</v>
      </c>
      <c r="R175" s="213" t="s">
        <v>5291</v>
      </c>
      <c r="S175" s="213">
        <f>S174-1</f>
        <v>12</v>
      </c>
      <c r="T175" s="213" t="s">
        <v>5295</v>
      </c>
      <c r="U175" s="213">
        <v>7115</v>
      </c>
      <c r="V175" s="99">
        <f t="shared" si="46"/>
        <v>7288.6449863013713</v>
      </c>
      <c r="W175" s="32">
        <f t="shared" si="49"/>
        <v>7434.4178860273987</v>
      </c>
      <c r="X175" s="32">
        <f t="shared" si="50"/>
        <v>7580.1907857534261</v>
      </c>
      <c r="AH175" s="269">
        <v>155</v>
      </c>
      <c r="AI175" s="265" t="s">
        <v>5083</v>
      </c>
      <c r="AJ175" s="265">
        <v>-50000000</v>
      </c>
      <c r="AK175" s="269">
        <v>7</v>
      </c>
      <c r="AL175" s="269">
        <f t="shared" si="39"/>
        <v>123</v>
      </c>
      <c r="AM175" s="265">
        <f t="shared" si="45"/>
        <v>-6150000000</v>
      </c>
      <c r="AN175" s="269" t="s">
        <v>5092</v>
      </c>
    </row>
    <row r="176" spans="15:43">
      <c r="Q176" s="169">
        <v>453499</v>
      </c>
      <c r="R176" s="213" t="s">
        <v>5300</v>
      </c>
      <c r="S176" s="213">
        <f>S175-1</f>
        <v>11</v>
      </c>
      <c r="T176" s="213" t="s">
        <v>5301</v>
      </c>
      <c r="U176" s="213">
        <v>6945.4</v>
      </c>
      <c r="V176" s="99">
        <f t="shared" si="46"/>
        <v>7109.5778389041097</v>
      </c>
      <c r="W176" s="32">
        <f t="shared" si="49"/>
        <v>7251.7693956821922</v>
      </c>
      <c r="X176" s="32">
        <f t="shared" si="50"/>
        <v>7393.9609524602747</v>
      </c>
      <c r="AH176" s="99">
        <v>156</v>
      </c>
      <c r="AI176" s="113" t="s">
        <v>5090</v>
      </c>
      <c r="AJ176" s="113">
        <v>10000000</v>
      </c>
      <c r="AK176" s="99">
        <v>12</v>
      </c>
      <c r="AL176" s="20">
        <f t="shared" si="39"/>
        <v>116</v>
      </c>
      <c r="AM176" s="117">
        <f t="shared" si="45"/>
        <v>1160000000</v>
      </c>
      <c r="AN176" s="20" t="s">
        <v>4746</v>
      </c>
    </row>
    <row r="177" spans="17:44">
      <c r="Q177" s="169">
        <v>121792</v>
      </c>
      <c r="R177" s="213" t="s">
        <v>5300</v>
      </c>
      <c r="S177" s="213">
        <f>S176</f>
        <v>11</v>
      </c>
      <c r="T177" s="213" t="s">
        <v>5302</v>
      </c>
      <c r="U177" s="213">
        <v>808.2</v>
      </c>
      <c r="V177" s="99">
        <f t="shared" si="46"/>
        <v>827.30451945205482</v>
      </c>
      <c r="W177" s="32">
        <f t="shared" si="49"/>
        <v>843.85060984109589</v>
      </c>
      <c r="X177" s="32">
        <f t="shared" si="50"/>
        <v>860.39670023013707</v>
      </c>
      <c r="AH177" s="99">
        <v>157</v>
      </c>
      <c r="AI177" s="113" t="s">
        <v>5099</v>
      </c>
      <c r="AJ177" s="113">
        <v>-16266000</v>
      </c>
      <c r="AK177" s="99">
        <v>1</v>
      </c>
      <c r="AL177" s="20">
        <f t="shared" si="39"/>
        <v>104</v>
      </c>
      <c r="AM177" s="117">
        <f t="shared" si="45"/>
        <v>-1691664000</v>
      </c>
      <c r="AN177" s="20" t="s">
        <v>5114</v>
      </c>
      <c r="AQ177" t="s">
        <v>25</v>
      </c>
    </row>
    <row r="178" spans="17:44">
      <c r="Q178" s="169">
        <v>5649</v>
      </c>
      <c r="R178" s="213" t="s">
        <v>5307</v>
      </c>
      <c r="S178" s="213">
        <f>S177-4</f>
        <v>7</v>
      </c>
      <c r="T178" s="213" t="s">
        <v>5308</v>
      </c>
      <c r="U178" s="213">
        <v>803</v>
      </c>
      <c r="V178" s="99">
        <f t="shared" si="46"/>
        <v>819.51760000000013</v>
      </c>
      <c r="W178" s="32">
        <f t="shared" si="49"/>
        <v>835.90795200000014</v>
      </c>
      <c r="X178" s="32">
        <f t="shared" si="50"/>
        <v>852.29830400000014</v>
      </c>
      <c r="AH178" s="99">
        <v>158</v>
      </c>
      <c r="AI178" s="113" t="s">
        <v>5115</v>
      </c>
      <c r="AJ178" s="113">
        <v>1000000</v>
      </c>
      <c r="AK178" s="99">
        <v>6</v>
      </c>
      <c r="AL178" s="20">
        <f t="shared" ref="AL178:AL181" si="51">AL179+AK178</f>
        <v>103</v>
      </c>
      <c r="AM178" s="117">
        <f t="shared" ref="AM178:AM181" si="52">AJ178*AL178</f>
        <v>103000000</v>
      </c>
      <c r="AN178" s="20"/>
    </row>
    <row r="179" spans="17:44">
      <c r="Q179" s="169">
        <v>1361093</v>
      </c>
      <c r="R179" s="213" t="s">
        <v>990</v>
      </c>
      <c r="S179" s="213">
        <f>S178-8</f>
        <v>-1</v>
      </c>
      <c r="T179" s="213" t="s">
        <v>5330</v>
      </c>
      <c r="U179" s="213">
        <v>6948.4</v>
      </c>
      <c r="V179" s="99">
        <f t="shared" si="46"/>
        <v>7048.6854005479463</v>
      </c>
      <c r="W179" s="32">
        <f t="shared" si="49"/>
        <v>7189.6591085589052</v>
      </c>
      <c r="X179" s="32">
        <f t="shared" si="50"/>
        <v>7330.6328165698642</v>
      </c>
      <c r="Y179" t="s">
        <v>25</v>
      </c>
      <c r="AH179" s="99">
        <v>159</v>
      </c>
      <c r="AI179" s="113" t="s">
        <v>5123</v>
      </c>
      <c r="AJ179" s="113">
        <v>40000</v>
      </c>
      <c r="AK179" s="99">
        <v>5</v>
      </c>
      <c r="AL179" s="20">
        <f t="shared" si="51"/>
        <v>97</v>
      </c>
      <c r="AM179" s="117">
        <f t="shared" si="52"/>
        <v>3880000</v>
      </c>
      <c r="AN179" s="20"/>
    </row>
    <row r="180" spans="17:44">
      <c r="Q180" s="169">
        <v>172529</v>
      </c>
      <c r="R180" s="213" t="s">
        <v>5335</v>
      </c>
      <c r="S180" s="213">
        <f>S179-2</f>
        <v>-3</v>
      </c>
      <c r="T180" s="213" t="s">
        <v>5337</v>
      </c>
      <c r="U180" s="213">
        <v>6870</v>
      </c>
      <c r="V180" s="99">
        <f t="shared" si="46"/>
        <v>6958.6135890410969</v>
      </c>
      <c r="W180" s="32">
        <f t="shared" si="49"/>
        <v>7097.7858608219194</v>
      </c>
      <c r="X180" s="32">
        <f t="shared" si="50"/>
        <v>7236.958132602741</v>
      </c>
      <c r="AH180" s="99">
        <v>160</v>
      </c>
      <c r="AI180" s="113" t="s">
        <v>5135</v>
      </c>
      <c r="AJ180" s="113">
        <v>120000</v>
      </c>
      <c r="AK180" s="99">
        <v>6</v>
      </c>
      <c r="AL180" s="20">
        <f t="shared" si="51"/>
        <v>92</v>
      </c>
      <c r="AM180" s="117">
        <f t="shared" si="52"/>
        <v>11040000</v>
      </c>
      <c r="AN180" s="20"/>
    </row>
    <row r="181" spans="17:44">
      <c r="Q181" s="169">
        <v>296336</v>
      </c>
      <c r="R181" s="213" t="s">
        <v>5335</v>
      </c>
      <c r="S181" s="213">
        <f>S180</f>
        <v>-3</v>
      </c>
      <c r="T181" s="213" t="s">
        <v>5338</v>
      </c>
      <c r="U181" s="213">
        <v>6860.4</v>
      </c>
      <c r="V181" s="99">
        <f t="shared" si="46"/>
        <v>6948.8897621917813</v>
      </c>
      <c r="W181" s="32">
        <f t="shared" si="49"/>
        <v>7087.8675574356166</v>
      </c>
      <c r="X181" s="32">
        <f t="shared" si="50"/>
        <v>7226.8453526794528</v>
      </c>
      <c r="Y181" t="s">
        <v>25</v>
      </c>
      <c r="AH181" s="99">
        <v>161</v>
      </c>
      <c r="AI181" s="113" t="s">
        <v>5128</v>
      </c>
      <c r="AJ181" s="113">
        <v>249000</v>
      </c>
      <c r="AK181" s="99">
        <v>9</v>
      </c>
      <c r="AL181" s="20">
        <f t="shared" si="51"/>
        <v>86</v>
      </c>
      <c r="AM181" s="117">
        <f t="shared" si="52"/>
        <v>21414000</v>
      </c>
      <c r="AN181" s="20"/>
    </row>
    <row r="182" spans="17:44">
      <c r="Q182" s="169">
        <v>302781</v>
      </c>
      <c r="R182" s="213" t="s">
        <v>5335</v>
      </c>
      <c r="S182" s="213">
        <f>S181</f>
        <v>-3</v>
      </c>
      <c r="T182" s="213" t="s">
        <v>5339</v>
      </c>
      <c r="U182" s="213">
        <v>6850.3</v>
      </c>
      <c r="V182" s="99">
        <f t="shared" si="46"/>
        <v>6938.6594860273981</v>
      </c>
      <c r="W182" s="32">
        <f t="shared" si="49"/>
        <v>7077.4326757479457</v>
      </c>
      <c r="X182" s="32">
        <f t="shared" si="50"/>
        <v>7216.2058654684943</v>
      </c>
      <c r="Y182" t="s">
        <v>25</v>
      </c>
      <c r="AH182" s="99">
        <v>162</v>
      </c>
      <c r="AI182" s="113" t="s">
        <v>5159</v>
      </c>
      <c r="AJ182" s="113">
        <v>65000</v>
      </c>
      <c r="AK182" s="99">
        <v>7</v>
      </c>
      <c r="AL182" s="20">
        <f t="shared" ref="AL182" si="53">AL183+AK182</f>
        <v>77</v>
      </c>
      <c r="AM182" s="117">
        <f t="shared" ref="AM182" si="54">AJ182*AL182</f>
        <v>5005000</v>
      </c>
      <c r="AN182" s="20"/>
    </row>
    <row r="183" spans="17:44">
      <c r="Q183" s="169">
        <v>683097</v>
      </c>
      <c r="R183" s="213" t="s">
        <v>5340</v>
      </c>
      <c r="S183" s="213">
        <f>S182-4</f>
        <v>-7</v>
      </c>
      <c r="T183" s="213" t="s">
        <v>5347</v>
      </c>
      <c r="U183" s="213">
        <v>6800.1</v>
      </c>
      <c r="V183" s="99">
        <f t="shared" si="46"/>
        <v>6866.9459145205483</v>
      </c>
      <c r="W183" s="32">
        <f t="shared" ref="W183:W189" si="55">V183*(1+$W$19/100)</f>
        <v>7004.2848328109594</v>
      </c>
      <c r="X183" s="32">
        <f t="shared" ref="X183:X189" si="56">V183*(1+$X$19/100)</f>
        <v>7141.6237511013705</v>
      </c>
      <c r="AH183" s="99">
        <v>163</v>
      </c>
      <c r="AI183" s="113" t="s">
        <v>5172</v>
      </c>
      <c r="AJ183" s="113">
        <v>-312598</v>
      </c>
      <c r="AK183" s="99">
        <v>0</v>
      </c>
      <c r="AL183" s="20">
        <f t="shared" ref="AL183:AL190" si="57">AL184+AK183</f>
        <v>70</v>
      </c>
      <c r="AM183" s="117">
        <f t="shared" ref="AM183:AM190" si="58">AJ183*AL183</f>
        <v>-21881860</v>
      </c>
      <c r="AN183" s="20"/>
      <c r="AO183" t="s">
        <v>25</v>
      </c>
      <c r="AQ183" t="s">
        <v>25</v>
      </c>
    </row>
    <row r="184" spans="17:44">
      <c r="Q184" s="169">
        <v>678687</v>
      </c>
      <c r="R184" s="213" t="s">
        <v>5340</v>
      </c>
      <c r="S184" s="213">
        <f>S183</f>
        <v>-7</v>
      </c>
      <c r="T184" s="213" t="s">
        <v>5348</v>
      </c>
      <c r="U184" s="213">
        <v>6756.2</v>
      </c>
      <c r="V184" s="99">
        <f t="shared" si="46"/>
        <v>6822.6143715068492</v>
      </c>
      <c r="W184" s="32">
        <f t="shared" si="55"/>
        <v>6959.0666589369866</v>
      </c>
      <c r="X184" s="32">
        <f t="shared" si="56"/>
        <v>7095.5189463671231</v>
      </c>
      <c r="AH184" s="99">
        <v>164</v>
      </c>
      <c r="AI184" s="113" t="s">
        <v>5172</v>
      </c>
      <c r="AJ184" s="113">
        <v>50000</v>
      </c>
      <c r="AK184" s="99">
        <v>6</v>
      </c>
      <c r="AL184" s="20">
        <f t="shared" si="57"/>
        <v>70</v>
      </c>
      <c r="AM184" s="117">
        <f t="shared" si="58"/>
        <v>3500000</v>
      </c>
      <c r="AN184" s="20"/>
      <c r="AR184" t="s">
        <v>25</v>
      </c>
    </row>
    <row r="185" spans="17:44">
      <c r="Q185" s="169">
        <v>37537</v>
      </c>
      <c r="R185" s="213" t="s">
        <v>5352</v>
      </c>
      <c r="S185" s="213">
        <f>S184-3</f>
        <v>-10</v>
      </c>
      <c r="T185" s="213" t="s">
        <v>5356</v>
      </c>
      <c r="U185" s="213">
        <v>216</v>
      </c>
      <c r="V185" s="99">
        <f t="shared" si="46"/>
        <v>217.62621369863015</v>
      </c>
      <c r="W185" s="32">
        <f t="shared" si="55"/>
        <v>221.97873797260277</v>
      </c>
      <c r="X185" s="32">
        <f t="shared" si="56"/>
        <v>226.33126224657536</v>
      </c>
      <c r="AH185" s="99">
        <v>165</v>
      </c>
      <c r="AI185" s="113" t="s">
        <v>5186</v>
      </c>
      <c r="AJ185" s="113">
        <v>-200000</v>
      </c>
      <c r="AK185" s="99">
        <v>0</v>
      </c>
      <c r="AL185" s="20">
        <f t="shared" si="57"/>
        <v>64</v>
      </c>
      <c r="AM185" s="117">
        <f t="shared" si="58"/>
        <v>-12800000</v>
      </c>
      <c r="AN185" s="20" t="s">
        <v>5187</v>
      </c>
    </row>
    <row r="186" spans="17:44">
      <c r="Q186" s="169">
        <v>129187</v>
      </c>
      <c r="R186" s="213" t="s">
        <v>5360</v>
      </c>
      <c r="S186" s="213">
        <f>S185-3</f>
        <v>-13</v>
      </c>
      <c r="T186" s="213" t="s">
        <v>5361</v>
      </c>
      <c r="U186" s="213">
        <v>6430.2</v>
      </c>
      <c r="V186" s="99">
        <f t="shared" si="46"/>
        <v>6463.813209863014</v>
      </c>
      <c r="W186" s="32">
        <f t="shared" si="55"/>
        <v>6593.0894740602744</v>
      </c>
      <c r="X186" s="32">
        <f t="shared" si="56"/>
        <v>6722.3657382575348</v>
      </c>
      <c r="AH186" s="99">
        <v>166</v>
      </c>
      <c r="AI186" s="113" t="s">
        <v>5186</v>
      </c>
      <c r="AJ186" s="113">
        <v>200000</v>
      </c>
      <c r="AK186" s="99">
        <v>3</v>
      </c>
      <c r="AL186" s="20">
        <f t="shared" si="57"/>
        <v>64</v>
      </c>
      <c r="AM186" s="117">
        <f t="shared" si="58"/>
        <v>12800000</v>
      </c>
      <c r="AN186" s="20"/>
      <c r="AQ186" t="s">
        <v>25</v>
      </c>
      <c r="AR186" t="s">
        <v>25</v>
      </c>
    </row>
    <row r="187" spans="17:44">
      <c r="Q187" s="169">
        <v>278792</v>
      </c>
      <c r="R187" s="213" t="s">
        <v>5360</v>
      </c>
      <c r="S187" s="213">
        <f>S186</f>
        <v>-13</v>
      </c>
      <c r="T187" s="213" t="s">
        <v>5362</v>
      </c>
      <c r="U187" s="213">
        <v>5550.1</v>
      </c>
      <c r="V187" s="99">
        <f t="shared" si="46"/>
        <v>5579.112577534248</v>
      </c>
      <c r="W187" s="32">
        <f t="shared" si="55"/>
        <v>5690.6948290849332</v>
      </c>
      <c r="X187" s="32">
        <f t="shared" si="56"/>
        <v>5802.2770806356184</v>
      </c>
      <c r="Z187" t="s">
        <v>25</v>
      </c>
      <c r="AH187" s="99">
        <v>167</v>
      </c>
      <c r="AI187" s="113" t="s">
        <v>5195</v>
      </c>
      <c r="AJ187" s="113">
        <v>200000</v>
      </c>
      <c r="AK187" s="99">
        <v>3</v>
      </c>
      <c r="AL187" s="20">
        <f t="shared" si="57"/>
        <v>61</v>
      </c>
      <c r="AM187" s="117">
        <f t="shared" si="58"/>
        <v>12200000</v>
      </c>
      <c r="AN187" s="20"/>
    </row>
    <row r="188" spans="17:44">
      <c r="Q188" s="169"/>
      <c r="R188" s="213"/>
      <c r="S188" s="213"/>
      <c r="T188" s="213"/>
      <c r="U188" s="213"/>
      <c r="V188" s="99"/>
      <c r="W188" s="32"/>
      <c r="X188" s="32"/>
      <c r="AH188" s="99">
        <v>168</v>
      </c>
      <c r="AI188" s="113" t="s">
        <v>5200</v>
      </c>
      <c r="AJ188" s="113">
        <v>30000</v>
      </c>
      <c r="AK188" s="99">
        <v>7</v>
      </c>
      <c r="AL188" s="20">
        <f t="shared" si="57"/>
        <v>58</v>
      </c>
      <c r="AM188" s="117">
        <f t="shared" si="58"/>
        <v>1740000</v>
      </c>
      <c r="AN188" s="20"/>
    </row>
    <row r="189" spans="17:44">
      <c r="Q189" s="169"/>
      <c r="R189" s="168"/>
      <c r="S189" s="168"/>
      <c r="T189" s="168"/>
      <c r="U189" s="168"/>
      <c r="V189" s="99">
        <f>U189*(1+$R$121+$Q$15*S189/36500)</f>
        <v>0</v>
      </c>
      <c r="W189" s="32">
        <f t="shared" si="55"/>
        <v>0</v>
      </c>
      <c r="X189" s="32">
        <f t="shared" si="56"/>
        <v>0</v>
      </c>
      <c r="AH189" s="99">
        <v>169</v>
      </c>
      <c r="AI189" s="113" t="s">
        <v>5147</v>
      </c>
      <c r="AJ189" s="113">
        <v>-10000000</v>
      </c>
      <c r="AK189" s="99">
        <v>0</v>
      </c>
      <c r="AL189" s="20">
        <f t="shared" si="57"/>
        <v>51</v>
      </c>
      <c r="AM189" s="117">
        <f t="shared" si="58"/>
        <v>-510000000</v>
      </c>
      <c r="AN189" s="20" t="s">
        <v>5092</v>
      </c>
    </row>
    <row r="190" spans="17:44">
      <c r="Q190" s="113">
        <f>SUM(N46:N52)-SUM(Q125:Q189)</f>
        <v>341997947.10000014</v>
      </c>
      <c r="R190" s="112"/>
      <c r="S190" s="112"/>
      <c r="T190" s="112"/>
      <c r="U190" s="168"/>
      <c r="V190" s="99" t="s">
        <v>25</v>
      </c>
      <c r="W190" s="32"/>
      <c r="X190" s="32"/>
      <c r="AH190" s="99">
        <v>170</v>
      </c>
      <c r="AI190" s="113" t="s">
        <v>5147</v>
      </c>
      <c r="AJ190" s="113">
        <v>6000000</v>
      </c>
      <c r="AK190" s="99">
        <v>8</v>
      </c>
      <c r="AL190" s="20">
        <f t="shared" si="57"/>
        <v>51</v>
      </c>
      <c r="AM190" s="117">
        <f t="shared" si="58"/>
        <v>306000000</v>
      </c>
      <c r="AN190" s="20"/>
      <c r="AP190" t="s">
        <v>25</v>
      </c>
    </row>
    <row r="191" spans="17:44">
      <c r="Q191" s="26"/>
      <c r="R191" s="181"/>
      <c r="S191" s="181"/>
      <c r="T191" t="s">
        <v>25</v>
      </c>
      <c r="U191" s="96" t="s">
        <v>25</v>
      </c>
      <c r="V191" s="96" t="s">
        <v>25</v>
      </c>
      <c r="W191" s="96" t="s">
        <v>25</v>
      </c>
      <c r="Y191" t="s">
        <v>25</v>
      </c>
      <c r="AH191" s="99">
        <v>171</v>
      </c>
      <c r="AI191" s="113" t="s">
        <v>5236</v>
      </c>
      <c r="AJ191" s="113">
        <v>150000</v>
      </c>
      <c r="AK191" s="99">
        <v>7</v>
      </c>
      <c r="AL191" s="20">
        <f t="shared" ref="AL191:AL216" si="59">AL192+AK191</f>
        <v>43</v>
      </c>
      <c r="AM191" s="117">
        <f t="shared" ref="AM191:AM216" si="60">AJ191*AL191</f>
        <v>6450000</v>
      </c>
      <c r="AN191" s="20"/>
    </row>
    <row r="192" spans="17:44">
      <c r="R192" s="32" t="s">
        <v>4557</v>
      </c>
      <c r="S192" s="32" t="s">
        <v>948</v>
      </c>
      <c r="T192" t="s">
        <v>25</v>
      </c>
      <c r="U192" s="96" t="s">
        <v>25</v>
      </c>
      <c r="V192" s="96" t="s">
        <v>25</v>
      </c>
      <c r="W192" s="96" t="s">
        <v>25</v>
      </c>
      <c r="X192" s="122" t="s">
        <v>25</v>
      </c>
      <c r="AH192" s="99">
        <v>172</v>
      </c>
      <c r="AI192" s="113" t="s">
        <v>5280</v>
      </c>
      <c r="AJ192" s="113">
        <v>400000</v>
      </c>
      <c r="AK192" s="99">
        <v>1</v>
      </c>
      <c r="AL192" s="20">
        <f t="shared" si="59"/>
        <v>36</v>
      </c>
      <c r="AM192" s="117">
        <f t="shared" si="60"/>
        <v>14400000</v>
      </c>
      <c r="AN192" s="20"/>
    </row>
    <row r="193" spans="15:45">
      <c r="R193" s="32">
        <v>190900</v>
      </c>
      <c r="S193" s="234">
        <v>46292168</v>
      </c>
      <c r="U193" s="96" t="s">
        <v>25</v>
      </c>
      <c r="V193" s="122" t="s">
        <v>25</v>
      </c>
      <c r="W193" s="96" t="s">
        <v>25</v>
      </c>
      <c r="X193" t="s">
        <v>25</v>
      </c>
      <c r="AH193" s="99">
        <v>173</v>
      </c>
      <c r="AI193" s="113" t="s">
        <v>5286</v>
      </c>
      <c r="AJ193" s="113">
        <v>-100000</v>
      </c>
      <c r="AK193" s="99">
        <v>1</v>
      </c>
      <c r="AL193" s="20">
        <f t="shared" si="59"/>
        <v>35</v>
      </c>
      <c r="AM193" s="117">
        <f t="shared" si="60"/>
        <v>-3500000</v>
      </c>
      <c r="AN193" s="20"/>
    </row>
    <row r="194" spans="15:45">
      <c r="Q194" t="s">
        <v>25</v>
      </c>
      <c r="R194" s="32">
        <v>2000</v>
      </c>
      <c r="S194" s="1">
        <f>S193*R194/R193</f>
        <v>484988.66422210581</v>
      </c>
      <c r="U194" s="96" t="s">
        <v>25</v>
      </c>
      <c r="V194" s="122" t="s">
        <v>25</v>
      </c>
      <c r="W194" s="96" t="s">
        <v>25</v>
      </c>
      <c r="X194" t="s">
        <v>25</v>
      </c>
      <c r="AH194" s="99">
        <v>174</v>
      </c>
      <c r="AI194" s="113" t="s">
        <v>5291</v>
      </c>
      <c r="AJ194" s="113">
        <v>10000000</v>
      </c>
      <c r="AK194" s="99">
        <v>1</v>
      </c>
      <c r="AL194" s="20">
        <f t="shared" si="59"/>
        <v>34</v>
      </c>
      <c r="AM194" s="117">
        <f t="shared" si="60"/>
        <v>340000000</v>
      </c>
      <c r="AN194" s="20" t="s">
        <v>4746</v>
      </c>
      <c r="AS194" t="s">
        <v>25</v>
      </c>
    </row>
    <row r="195" spans="15:45">
      <c r="R195" s="32">
        <f>R193-R194</f>
        <v>188900</v>
      </c>
      <c r="S195" s="1">
        <f>R195*S193/R193</f>
        <v>45807179.335777894</v>
      </c>
      <c r="T195" t="s">
        <v>25</v>
      </c>
      <c r="U195" s="122" t="s">
        <v>25</v>
      </c>
      <c r="V195" s="96"/>
      <c r="W195" s="122" t="s">
        <v>25</v>
      </c>
      <c r="X195" t="s">
        <v>25</v>
      </c>
      <c r="AH195" s="99">
        <v>175</v>
      </c>
      <c r="AI195" s="113" t="s">
        <v>5300</v>
      </c>
      <c r="AJ195" s="113">
        <v>-400000</v>
      </c>
      <c r="AK195" s="99">
        <v>6</v>
      </c>
      <c r="AL195" s="20">
        <f t="shared" ref="AL195:AL203" si="61">AL196+AK195</f>
        <v>33</v>
      </c>
      <c r="AM195" s="117">
        <f t="shared" ref="AM195:AM203" si="62">AJ195*AL195</f>
        <v>-13200000</v>
      </c>
      <c r="AN195" s="20"/>
    </row>
    <row r="196" spans="15:45">
      <c r="V196" s="96"/>
      <c r="W196"/>
      <c r="X196" t="s">
        <v>25</v>
      </c>
      <c r="AH196" s="99">
        <v>176</v>
      </c>
      <c r="AI196" s="113" t="s">
        <v>5312</v>
      </c>
      <c r="AJ196" s="113">
        <v>1300000</v>
      </c>
      <c r="AK196" s="99">
        <v>0</v>
      </c>
      <c r="AL196" s="20">
        <f t="shared" si="61"/>
        <v>27</v>
      </c>
      <c r="AM196" s="117">
        <f t="shared" si="62"/>
        <v>35100000</v>
      </c>
      <c r="AN196" s="20"/>
      <c r="AR196" t="s">
        <v>25</v>
      </c>
    </row>
    <row r="197" spans="15:45">
      <c r="Q197" s="99" t="s">
        <v>4448</v>
      </c>
      <c r="R197" s="99" t="s">
        <v>4450</v>
      </c>
      <c r="S197" s="99"/>
      <c r="T197" s="99" t="s">
        <v>4451</v>
      </c>
      <c r="U197" s="99"/>
      <c r="V197" s="99"/>
      <c r="W197" s="99" t="s">
        <v>4560</v>
      </c>
      <c r="Y197" t="s">
        <v>25</v>
      </c>
      <c r="AH197" s="99">
        <v>177</v>
      </c>
      <c r="AI197" s="113" t="s">
        <v>5312</v>
      </c>
      <c r="AJ197" s="113">
        <v>230000</v>
      </c>
      <c r="AK197" s="99">
        <v>1</v>
      </c>
      <c r="AL197" s="20">
        <f t="shared" si="61"/>
        <v>27</v>
      </c>
      <c r="AM197" s="117">
        <f t="shared" si="62"/>
        <v>6210000</v>
      </c>
      <c r="AN197" s="20"/>
    </row>
    <row r="198" spans="15:45">
      <c r="P198">
        <f>R201+607</f>
        <v>1612872</v>
      </c>
      <c r="Q198" s="113">
        <v>1000</v>
      </c>
      <c r="R198" s="99">
        <v>0.25</v>
      </c>
      <c r="S198" s="99"/>
      <c r="T198" s="99">
        <f>1-R198</f>
        <v>0.75</v>
      </c>
      <c r="U198" s="99"/>
      <c r="V198" s="99"/>
      <c r="W198" s="99"/>
      <c r="AH198" s="99">
        <v>178</v>
      </c>
      <c r="AI198" s="113" t="s">
        <v>5318</v>
      </c>
      <c r="AJ198" s="113">
        <v>880000</v>
      </c>
      <c r="AK198" s="99">
        <v>4</v>
      </c>
      <c r="AL198" s="20">
        <f t="shared" si="61"/>
        <v>26</v>
      </c>
      <c r="AM198" s="117">
        <f t="shared" si="62"/>
        <v>22880000</v>
      </c>
      <c r="AN198" s="20"/>
    </row>
    <row r="199" spans="15:45">
      <c r="Q199" s="168" t="s">
        <v>4435</v>
      </c>
      <c r="R199" s="168" t="s">
        <v>4453</v>
      </c>
      <c r="S199" s="168" t="s">
        <v>4454</v>
      </c>
      <c r="T199" s="168"/>
      <c r="U199" s="168" t="s">
        <v>4449</v>
      </c>
      <c r="V199" s="56" t="s">
        <v>4452</v>
      </c>
      <c r="W199" s="99"/>
      <c r="X199" s="8" t="s">
        <v>25</v>
      </c>
      <c r="AH199" s="99">
        <v>179</v>
      </c>
      <c r="AI199" s="113" t="s">
        <v>5323</v>
      </c>
      <c r="AJ199" s="113">
        <v>-900000</v>
      </c>
      <c r="AK199" s="99">
        <v>1</v>
      </c>
      <c r="AL199" s="20">
        <f t="shared" si="61"/>
        <v>22</v>
      </c>
      <c r="AM199" s="117">
        <f t="shared" si="62"/>
        <v>-19800000</v>
      </c>
      <c r="AN199" s="20"/>
    </row>
    <row r="200" spans="15:45">
      <c r="P200" s="114"/>
      <c r="Q200" s="168" t="s">
        <v>750</v>
      </c>
      <c r="R200" s="56">
        <v>1752968</v>
      </c>
      <c r="S200" s="113">
        <f>R200*$T$354</f>
        <v>849898463.6664542</v>
      </c>
      <c r="T200" s="168"/>
      <c r="U200" s="168">
        <f>$Q$198*$T$198*S200/$R$227</f>
        <v>359.82143663537619</v>
      </c>
      <c r="V200" s="95">
        <f>S200+U200</f>
        <v>849898823.48789084</v>
      </c>
      <c r="W200" s="99">
        <f>R200*100/U351</f>
        <v>47.976191551383494</v>
      </c>
      <c r="X200" s="217"/>
      <c r="AH200" s="99">
        <v>180</v>
      </c>
      <c r="AI200" s="113" t="s">
        <v>990</v>
      </c>
      <c r="AJ200" s="113">
        <v>-3500000</v>
      </c>
      <c r="AK200" s="99">
        <v>1</v>
      </c>
      <c r="AL200" s="20">
        <f t="shared" si="61"/>
        <v>21</v>
      </c>
      <c r="AM200" s="117">
        <f t="shared" si="62"/>
        <v>-73500000</v>
      </c>
      <c r="AN200" s="20"/>
      <c r="AR200" t="s">
        <v>25</v>
      </c>
    </row>
    <row r="201" spans="15:45">
      <c r="O201" t="s">
        <v>25</v>
      </c>
      <c r="P201" s="114"/>
      <c r="Q201" s="168" t="s">
        <v>4437</v>
      </c>
      <c r="R201" s="56">
        <v>1612265</v>
      </c>
      <c r="S201" s="113">
        <f>R201*$T$354</f>
        <v>781680867.26237774</v>
      </c>
      <c r="T201" s="168"/>
      <c r="U201" s="213">
        <f>$Q$198*$T$198*S201/$R$227</f>
        <v>330.9401589401146</v>
      </c>
      <c r="V201" s="95">
        <f t="shared" ref="V201:V202" si="63">S201+U201</f>
        <v>781681198.2025367</v>
      </c>
      <c r="W201" s="99">
        <f>R201*100/U351</f>
        <v>44.125354525348612</v>
      </c>
      <c r="X201" s="115"/>
      <c r="AH201" s="99">
        <v>181</v>
      </c>
      <c r="AI201" s="113" t="s">
        <v>4272</v>
      </c>
      <c r="AJ201" s="113">
        <v>-1600000</v>
      </c>
      <c r="AK201" s="99">
        <v>1</v>
      </c>
      <c r="AL201" s="20">
        <f t="shared" si="61"/>
        <v>20</v>
      </c>
      <c r="AM201" s="117">
        <f t="shared" si="62"/>
        <v>-32000000</v>
      </c>
      <c r="AN201" s="20"/>
      <c r="AQ201" t="s">
        <v>25</v>
      </c>
    </row>
    <row r="202" spans="15:45">
      <c r="P202" s="114"/>
      <c r="Q202" s="168" t="s">
        <v>4436</v>
      </c>
      <c r="R202" s="56">
        <v>50515</v>
      </c>
      <c r="S202" s="113">
        <f>R202*$T$354</f>
        <v>24491388.82861007</v>
      </c>
      <c r="T202" s="168"/>
      <c r="U202" s="213">
        <f>$Q$198*$T$198*S202/$R$227</f>
        <v>10.368917100389757</v>
      </c>
      <c r="V202" s="95">
        <f t="shared" si="63"/>
        <v>24491399.19752717</v>
      </c>
      <c r="W202" s="99">
        <f>R202*100/U351</f>
        <v>1.3825222800519674</v>
      </c>
      <c r="X202" s="115"/>
      <c r="AH202" s="99">
        <v>182</v>
      </c>
      <c r="AI202" s="113" t="s">
        <v>5335</v>
      </c>
      <c r="AJ202" s="113">
        <v>-800000</v>
      </c>
      <c r="AK202" s="99">
        <v>7</v>
      </c>
      <c r="AL202" s="20">
        <f t="shared" si="61"/>
        <v>19</v>
      </c>
      <c r="AM202" s="117">
        <f t="shared" si="62"/>
        <v>-15200000</v>
      </c>
      <c r="AN202" s="20"/>
    </row>
    <row r="203" spans="15:45">
      <c r="P203" s="114"/>
      <c r="Q203" s="168" t="s">
        <v>1084</v>
      </c>
      <c r="R203" s="56">
        <v>238081</v>
      </c>
      <c r="S203" s="113">
        <f>R203*$T$354</f>
        <v>115429760.34255794</v>
      </c>
      <c r="T203" s="168"/>
      <c r="U203" s="213">
        <f>$Q$198*$T$198*S203/$R$227</f>
        <v>48.86948732411944</v>
      </c>
      <c r="V203" s="95">
        <f>S203+U203</f>
        <v>115429809.21204527</v>
      </c>
      <c r="W203" s="99">
        <f>R203*100/U351</f>
        <v>6.5159316432159251</v>
      </c>
      <c r="X203" s="115"/>
      <c r="AH203" s="99">
        <v>183</v>
      </c>
      <c r="AI203" s="113" t="s">
        <v>5352</v>
      </c>
      <c r="AJ203" s="113">
        <v>50000</v>
      </c>
      <c r="AK203" s="99">
        <v>2</v>
      </c>
      <c r="AL203" s="20">
        <f t="shared" si="61"/>
        <v>12</v>
      </c>
      <c r="AM203" s="117">
        <f t="shared" si="62"/>
        <v>600000</v>
      </c>
      <c r="AN203" s="20"/>
    </row>
    <row r="204" spans="15:45">
      <c r="P204" s="114"/>
      <c r="Q204" s="168"/>
      <c r="R204" s="56"/>
      <c r="S204" s="168"/>
      <c r="T204" s="168"/>
      <c r="U204" s="168"/>
      <c r="V204" s="168"/>
      <c r="W204" s="99"/>
      <c r="X204" s="96"/>
      <c r="AH204" s="99">
        <v>184</v>
      </c>
      <c r="AI204" s="113" t="s">
        <v>5357</v>
      </c>
      <c r="AJ204" s="113">
        <v>400000</v>
      </c>
      <c r="AK204" s="99">
        <v>8</v>
      </c>
      <c r="AL204" s="20">
        <f t="shared" ref="AL204:AL215" si="64">AL205+AK204</f>
        <v>10</v>
      </c>
      <c r="AM204" s="117">
        <f t="shared" ref="AM204:AM215" si="65">AJ204*AL204</f>
        <v>4000000</v>
      </c>
      <c r="AN204" s="20"/>
      <c r="AR204" t="s">
        <v>25</v>
      </c>
    </row>
    <row r="205" spans="15:45">
      <c r="Q205" s="168"/>
      <c r="R205" s="168"/>
      <c r="S205" s="168"/>
      <c r="T205" s="168"/>
      <c r="U205" s="168"/>
      <c r="V205" s="168"/>
      <c r="W205" s="99"/>
      <c r="X205" s="96"/>
      <c r="AH205" s="99">
        <v>185</v>
      </c>
      <c r="AI205" s="113" t="s">
        <v>5310</v>
      </c>
      <c r="AJ205" s="113">
        <v>-10000000</v>
      </c>
      <c r="AK205" s="99">
        <v>0</v>
      </c>
      <c r="AL205" s="20">
        <f t="shared" si="64"/>
        <v>2</v>
      </c>
      <c r="AM205" s="117">
        <f t="shared" si="65"/>
        <v>-20000000</v>
      </c>
      <c r="AN205" s="20" t="s">
        <v>5092</v>
      </c>
    </row>
    <row r="206" spans="15:45">
      <c r="Q206" s="99"/>
      <c r="R206" s="99"/>
      <c r="S206" s="99"/>
      <c r="T206" s="99" t="s">
        <v>25</v>
      </c>
      <c r="U206" s="99"/>
      <c r="V206" s="99"/>
      <c r="W206" s="99"/>
      <c r="X206" s="96"/>
      <c r="AH206" s="99">
        <v>186</v>
      </c>
      <c r="AI206" s="113" t="s">
        <v>5310</v>
      </c>
      <c r="AJ206" s="113">
        <v>3000000</v>
      </c>
      <c r="AK206" s="99">
        <v>1</v>
      </c>
      <c r="AL206" s="20">
        <f t="shared" si="64"/>
        <v>2</v>
      </c>
      <c r="AM206" s="117">
        <f t="shared" si="65"/>
        <v>6000000</v>
      </c>
      <c r="AN206" s="20"/>
    </row>
    <row r="207" spans="15:45">
      <c r="P207" s="114"/>
      <c r="Q207" s="99"/>
      <c r="R207" s="99"/>
      <c r="S207" s="99"/>
      <c r="T207" s="99"/>
      <c r="U207" s="99"/>
      <c r="V207" s="99"/>
      <c r="W207" s="99"/>
      <c r="X207" s="96"/>
      <c r="AH207" s="99">
        <v>187</v>
      </c>
      <c r="AI207" s="113" t="s">
        <v>5382</v>
      </c>
      <c r="AJ207" s="113">
        <v>500000</v>
      </c>
      <c r="AK207" s="99">
        <v>1</v>
      </c>
      <c r="AL207" s="20">
        <f t="shared" si="64"/>
        <v>1</v>
      </c>
      <c r="AM207" s="117">
        <f t="shared" si="65"/>
        <v>500000</v>
      </c>
      <c r="AN207" s="20"/>
      <c r="AR207" t="s">
        <v>25</v>
      </c>
    </row>
    <row r="208" spans="15:45">
      <c r="P208" s="114"/>
      <c r="Q208" s="99"/>
      <c r="R208" s="99"/>
      <c r="S208" s="99"/>
      <c r="T208" s="99"/>
      <c r="U208" s="99"/>
      <c r="V208" s="99"/>
      <c r="W208" s="99"/>
      <c r="X208" s="96"/>
      <c r="AH208" s="99"/>
      <c r="AI208" s="113"/>
      <c r="AJ208" s="113"/>
      <c r="AK208" s="99"/>
      <c r="AL208" s="20">
        <f t="shared" si="64"/>
        <v>0</v>
      </c>
      <c r="AM208" s="117">
        <f t="shared" si="65"/>
        <v>0</v>
      </c>
      <c r="AN208" s="20"/>
      <c r="AR208" t="s">
        <v>25</v>
      </c>
    </row>
    <row r="209" spans="16:45">
      <c r="Q209" s="96"/>
      <c r="R209" s="96"/>
      <c r="S209" s="96"/>
      <c r="T209" s="96"/>
      <c r="V209" s="96"/>
      <c r="X209" s="115"/>
      <c r="AH209" s="99"/>
      <c r="AI209" s="113"/>
      <c r="AJ209" s="113"/>
      <c r="AK209" s="99"/>
      <c r="AL209" s="20">
        <f t="shared" si="64"/>
        <v>0</v>
      </c>
      <c r="AM209" s="117">
        <f t="shared" si="65"/>
        <v>0</v>
      </c>
      <c r="AN209" s="20"/>
      <c r="AP209" t="s">
        <v>25</v>
      </c>
    </row>
    <row r="210" spans="16:45">
      <c r="P210" s="114"/>
      <c r="Q210" s="99" t="s">
        <v>5034</v>
      </c>
      <c r="R210" s="95">
        <f>S200-R215</f>
        <v>216000865.96645415</v>
      </c>
      <c r="S210" s="96"/>
      <c r="T210" s="96"/>
      <c r="V210" s="96"/>
      <c r="Z210" t="s">
        <v>25</v>
      </c>
      <c r="AH210" s="99"/>
      <c r="AI210" s="113"/>
      <c r="AJ210" s="113"/>
      <c r="AK210" s="99"/>
      <c r="AL210" s="20">
        <f t="shared" si="64"/>
        <v>0</v>
      </c>
      <c r="AM210" s="117">
        <f t="shared" si="65"/>
        <v>0</v>
      </c>
      <c r="AN210" s="20"/>
      <c r="AR210" t="s">
        <v>25</v>
      </c>
    </row>
    <row r="211" spans="16:45">
      <c r="Q211" s="99" t="s">
        <v>5035</v>
      </c>
      <c r="R211" s="95">
        <f>S203+S202-R216</f>
        <v>11192473.871167988</v>
      </c>
      <c r="S211" s="96"/>
      <c r="T211" s="96" t="s">
        <v>25</v>
      </c>
      <c r="V211" s="96"/>
      <c r="AH211" s="99"/>
      <c r="AI211" s="113"/>
      <c r="AJ211" s="113"/>
      <c r="AK211" s="99"/>
      <c r="AL211" s="20">
        <f t="shared" si="64"/>
        <v>0</v>
      </c>
      <c r="AM211" s="117">
        <f t="shared" si="65"/>
        <v>0</v>
      </c>
      <c r="AN211" s="20"/>
      <c r="AR211" t="s">
        <v>25</v>
      </c>
    </row>
    <row r="212" spans="16:45">
      <c r="Q212" s="96"/>
      <c r="R212" s="96"/>
      <c r="S212" s="96"/>
      <c r="T212" s="96"/>
      <c r="V212" s="96"/>
      <c r="AH212" s="99"/>
      <c r="AI212" s="113"/>
      <c r="AJ212" s="113"/>
      <c r="AK212" s="99"/>
      <c r="AL212" s="20">
        <f t="shared" si="64"/>
        <v>0</v>
      </c>
      <c r="AM212" s="117">
        <f t="shared" si="65"/>
        <v>0</v>
      </c>
      <c r="AN212" s="20"/>
      <c r="AS212" t="s">
        <v>25</v>
      </c>
    </row>
    <row r="213" spans="16:45">
      <c r="P213" s="114"/>
      <c r="Q213" s="96"/>
      <c r="R213" s="96"/>
      <c r="S213" s="96"/>
      <c r="T213" s="99" t="s">
        <v>180</v>
      </c>
      <c r="U213" s="99" t="s">
        <v>4470</v>
      </c>
      <c r="V213" s="99" t="s">
        <v>4471</v>
      </c>
      <c r="W213" s="99" t="s">
        <v>4481</v>
      </c>
      <c r="X213" s="99" t="s">
        <v>8</v>
      </c>
      <c r="AH213" s="99"/>
      <c r="AI213" s="113"/>
      <c r="AJ213" s="113"/>
      <c r="AK213" s="99"/>
      <c r="AL213" s="20">
        <f t="shared" si="64"/>
        <v>0</v>
      </c>
      <c r="AM213" s="117">
        <f t="shared" si="65"/>
        <v>0</v>
      </c>
      <c r="AN213" s="20"/>
      <c r="AR213" t="s">
        <v>25</v>
      </c>
    </row>
    <row r="214" spans="16:45">
      <c r="Q214" s="36" t="s">
        <v>4556</v>
      </c>
      <c r="R214" s="95">
        <f>SUM(N46:N52)</f>
        <v>1008501263.1000001</v>
      </c>
      <c r="T214" s="113" t="s">
        <v>4447</v>
      </c>
      <c r="U214" s="56">
        <v>1000000</v>
      </c>
      <c r="V214" s="113">
        <v>239.024</v>
      </c>
      <c r="W214" s="113">
        <f t="shared" ref="W214:W315" si="66">U214*V214</f>
        <v>239024000</v>
      </c>
      <c r="X214" s="99"/>
      <c r="AH214" s="99"/>
      <c r="AI214" s="113"/>
      <c r="AJ214" s="113"/>
      <c r="AK214" s="99"/>
      <c r="AL214" s="20">
        <f t="shared" si="64"/>
        <v>0</v>
      </c>
      <c r="AM214" s="117">
        <f t="shared" si="65"/>
        <v>0</v>
      </c>
      <c r="AN214" s="20"/>
      <c r="AQ214" t="s">
        <v>25</v>
      </c>
    </row>
    <row r="215" spans="16:45">
      <c r="Q215" s="99" t="s">
        <v>4438</v>
      </c>
      <c r="R215" s="95">
        <f>SUM(N21:N26)</f>
        <v>633897597.70000005</v>
      </c>
      <c r="T215" s="168" t="s">
        <v>4429</v>
      </c>
      <c r="U215" s="56">
        <v>5904</v>
      </c>
      <c r="V215" s="113">
        <v>237.148</v>
      </c>
      <c r="W215" s="113">
        <f t="shared" si="66"/>
        <v>1400121.7919999999</v>
      </c>
      <c r="X215" s="99" t="s">
        <v>750</v>
      </c>
      <c r="AH215" s="99"/>
      <c r="AI215" s="113"/>
      <c r="AJ215" s="113"/>
      <c r="AK215" s="99"/>
      <c r="AL215" s="20">
        <f t="shared" si="64"/>
        <v>0</v>
      </c>
      <c r="AM215" s="117">
        <f t="shared" si="65"/>
        <v>0</v>
      </c>
      <c r="AN215" s="20"/>
    </row>
    <row r="216" spans="16:45">
      <c r="Q216" s="99" t="s">
        <v>4439</v>
      </c>
      <c r="R216" s="95">
        <f>SUM(N29:N33)</f>
        <v>128728675.30000001</v>
      </c>
      <c r="T216" s="168" t="s">
        <v>4223</v>
      </c>
      <c r="U216" s="168">
        <v>1000</v>
      </c>
      <c r="V216" s="113">
        <v>247.393</v>
      </c>
      <c r="W216" s="113">
        <f t="shared" si="66"/>
        <v>247393</v>
      </c>
      <c r="X216" s="99" t="s">
        <v>750</v>
      </c>
      <c r="AH216" s="99"/>
      <c r="AI216" s="113"/>
      <c r="AJ216" s="113"/>
      <c r="AK216" s="99"/>
      <c r="AL216" s="20">
        <f t="shared" si="59"/>
        <v>0</v>
      </c>
      <c r="AM216" s="117">
        <f t="shared" si="60"/>
        <v>0</v>
      </c>
      <c r="AN216" s="20"/>
    </row>
    <row r="217" spans="16:45">
      <c r="Q217" s="99" t="s">
        <v>4440</v>
      </c>
      <c r="R217" s="95">
        <f>N44</f>
        <v>0</v>
      </c>
      <c r="T217" s="168" t="s">
        <v>4482</v>
      </c>
      <c r="U217" s="168">
        <v>8071</v>
      </c>
      <c r="V217" s="113">
        <v>247.797</v>
      </c>
      <c r="W217" s="113">
        <f t="shared" si="66"/>
        <v>1999969.5870000001</v>
      </c>
      <c r="X217" s="99" t="s">
        <v>4436</v>
      </c>
      <c r="AH217" s="99"/>
      <c r="AI217" s="99"/>
      <c r="AJ217" s="95">
        <f>SUM(AJ20:AJ216)</f>
        <v>490830059</v>
      </c>
      <c r="AK217" s="99"/>
      <c r="AL217" s="99"/>
      <c r="AM217" s="95">
        <f>SUM(AM20:AM216)</f>
        <v>178164285440</v>
      </c>
      <c r="AN217" s="95">
        <f>AM217*AN220/31</f>
        <v>95789165.981563881</v>
      </c>
    </row>
    <row r="218" spans="16:45">
      <c r="Q218" s="99" t="s">
        <v>4441</v>
      </c>
      <c r="R218" s="95">
        <f>N20</f>
        <v>306710</v>
      </c>
      <c r="T218" s="168" t="s">
        <v>4482</v>
      </c>
      <c r="U218" s="168">
        <v>53672</v>
      </c>
      <c r="V218" s="113">
        <v>247.797</v>
      </c>
      <c r="W218" s="113">
        <f t="shared" si="66"/>
        <v>13299760.584000001</v>
      </c>
      <c r="X218" s="99" t="s">
        <v>452</v>
      </c>
      <c r="AH218" s="99"/>
      <c r="AI218" s="99"/>
      <c r="AJ218" s="99" t="s">
        <v>4056</v>
      </c>
      <c r="AK218" s="99"/>
      <c r="AL218" s="99"/>
      <c r="AM218" s="99" t="s">
        <v>284</v>
      </c>
      <c r="AN218" s="99" t="s">
        <v>941</v>
      </c>
      <c r="AS218" t="s">
        <v>25</v>
      </c>
    </row>
    <row r="219" spans="16:45">
      <c r="Q219" s="99" t="s">
        <v>4442</v>
      </c>
      <c r="R219" s="95">
        <f>N28</f>
        <v>126</v>
      </c>
      <c r="T219" s="168" t="s">
        <v>4490</v>
      </c>
      <c r="U219" s="168">
        <v>4099</v>
      </c>
      <c r="V219" s="113">
        <v>243.93</v>
      </c>
      <c r="W219" s="113">
        <f t="shared" si="66"/>
        <v>999869.07000000007</v>
      </c>
      <c r="X219" s="99" t="s">
        <v>4436</v>
      </c>
      <c r="AH219" s="99"/>
      <c r="AI219" s="99"/>
      <c r="AJ219" s="99"/>
      <c r="AK219" s="99"/>
      <c r="AL219" s="99"/>
      <c r="AM219" s="99"/>
      <c r="AN219" s="99"/>
    </row>
    <row r="220" spans="16:45">
      <c r="P220" s="114"/>
      <c r="Q220" s="99" t="s">
        <v>5327</v>
      </c>
      <c r="R220" s="95">
        <v>0</v>
      </c>
      <c r="T220" s="168" t="s">
        <v>4490</v>
      </c>
      <c r="U220" s="168">
        <v>9301</v>
      </c>
      <c r="V220" s="113">
        <v>243.93</v>
      </c>
      <c r="W220" s="113">
        <f t="shared" si="66"/>
        <v>2268792.9300000002</v>
      </c>
      <c r="X220" s="99" t="s">
        <v>452</v>
      </c>
      <c r="AH220" s="99"/>
      <c r="AI220" s="99"/>
      <c r="AJ220" s="99"/>
      <c r="AK220" s="99"/>
      <c r="AL220" s="99"/>
      <c r="AM220" s="99" t="s">
        <v>4057</v>
      </c>
      <c r="AN220" s="99">
        <v>1.6667000000000001E-2</v>
      </c>
    </row>
    <row r="221" spans="16:45">
      <c r="P221" s="114"/>
      <c r="Q221" s="99" t="s">
        <v>4911</v>
      </c>
      <c r="R221" s="95">
        <v>66108</v>
      </c>
      <c r="T221" s="168" t="s">
        <v>4496</v>
      </c>
      <c r="U221" s="168">
        <v>8334</v>
      </c>
      <c r="V221" s="113">
        <v>239.97</v>
      </c>
      <c r="W221" s="113">
        <f t="shared" si="66"/>
        <v>1999909.98</v>
      </c>
      <c r="X221" s="99" t="s">
        <v>4436</v>
      </c>
      <c r="AH221" s="99"/>
      <c r="AI221" s="99"/>
      <c r="AJ221" s="99"/>
      <c r="AK221" s="99"/>
      <c r="AL221" s="99"/>
      <c r="AM221" s="99"/>
      <c r="AN221" s="99"/>
    </row>
    <row r="222" spans="16:45">
      <c r="Q222" s="99" t="s">
        <v>5208</v>
      </c>
      <c r="R222" s="95">
        <v>0</v>
      </c>
      <c r="T222" s="168" t="s">
        <v>4222</v>
      </c>
      <c r="U222" s="168">
        <v>29041</v>
      </c>
      <c r="V222" s="113">
        <v>233.45</v>
      </c>
      <c r="W222" s="113">
        <f t="shared" si="66"/>
        <v>6779621.4499999993</v>
      </c>
      <c r="X222" s="99" t="s">
        <v>750</v>
      </c>
      <c r="AH222" s="99"/>
      <c r="AI222" s="99" t="s">
        <v>4058</v>
      </c>
      <c r="AJ222" s="95">
        <f>AJ217+AN217</f>
        <v>586619224.98156393</v>
      </c>
      <c r="AK222" s="99"/>
      <c r="AL222" s="99"/>
      <c r="AM222" s="99"/>
      <c r="AN222" s="99"/>
    </row>
    <row r="223" spans="16:45">
      <c r="Q223" s="99"/>
      <c r="R223" s="95"/>
      <c r="S223" s="115"/>
      <c r="T223" s="168" t="s">
        <v>992</v>
      </c>
      <c r="U223" s="168">
        <v>12337</v>
      </c>
      <c r="V223" s="113">
        <v>243.16300000000001</v>
      </c>
      <c r="W223" s="113">
        <f t="shared" si="66"/>
        <v>2999901.9310000003</v>
      </c>
      <c r="X223" s="99" t="s">
        <v>4436</v>
      </c>
      <c r="AI223" t="s">
        <v>4061</v>
      </c>
      <c r="AJ223" s="114">
        <f>SUM(N44:N52)</f>
        <v>1008501263.1000001</v>
      </c>
      <c r="AM223" t="s">
        <v>25</v>
      </c>
    </row>
    <row r="224" spans="16:45">
      <c r="Q224" s="99"/>
      <c r="R224" s="95"/>
      <c r="S224" s="122"/>
      <c r="T224" s="168" t="s">
        <v>4577</v>
      </c>
      <c r="U224" s="168">
        <v>-16118</v>
      </c>
      <c r="V224" s="113">
        <v>248.17</v>
      </c>
      <c r="W224" s="113">
        <f t="shared" si="66"/>
        <v>-4000004.0599999996</v>
      </c>
      <c r="X224" s="99" t="s">
        <v>750</v>
      </c>
      <c r="Z224" t="s">
        <v>25</v>
      </c>
      <c r="AI224" t="s">
        <v>4133</v>
      </c>
      <c r="AJ224" s="114">
        <f>AJ223-AJ217</f>
        <v>517671204.10000014</v>
      </c>
      <c r="AM224" t="s">
        <v>25</v>
      </c>
    </row>
    <row r="225" spans="17:44">
      <c r="Q225" s="99"/>
      <c r="R225" s="95"/>
      <c r="S225" s="115"/>
      <c r="T225" s="168" t="s">
        <v>4605</v>
      </c>
      <c r="U225" s="168">
        <v>101681</v>
      </c>
      <c r="V225" s="113">
        <v>246.5711</v>
      </c>
      <c r="W225" s="113">
        <f t="shared" si="66"/>
        <v>25071596.019099999</v>
      </c>
      <c r="X225" s="99" t="s">
        <v>452</v>
      </c>
      <c r="AI225" t="s">
        <v>941</v>
      </c>
      <c r="AJ225" s="114">
        <f>AN217</f>
        <v>95789165.981563881</v>
      </c>
      <c r="AN225" t="s">
        <v>25</v>
      </c>
    </row>
    <row r="226" spans="17:44">
      <c r="Q226" s="99" t="s">
        <v>5209</v>
      </c>
      <c r="R226" s="95">
        <v>0</v>
      </c>
      <c r="S226" s="115"/>
      <c r="T226" s="168" t="s">
        <v>4609</v>
      </c>
      <c r="U226" s="168">
        <v>66606</v>
      </c>
      <c r="V226" s="113">
        <v>251.131</v>
      </c>
      <c r="W226" s="113">
        <f t="shared" si="66"/>
        <v>16726831.386</v>
      </c>
      <c r="X226" s="99" t="s">
        <v>750</v>
      </c>
      <c r="Y226" t="s">
        <v>25</v>
      </c>
      <c r="AI226" t="s">
        <v>4062</v>
      </c>
      <c r="AJ226" s="114">
        <f>AJ223-AJ222</f>
        <v>421882038.11843622</v>
      </c>
      <c r="AN226" t="s">
        <v>25</v>
      </c>
    </row>
    <row r="227" spans="17:44">
      <c r="Q227" s="99" t="s">
        <v>4446</v>
      </c>
      <c r="R227" s="95">
        <f>SUM(R214:R226)</f>
        <v>1771500480.1000001</v>
      </c>
      <c r="T227" s="168" t="s">
        <v>4614</v>
      </c>
      <c r="U227" s="168">
        <v>172025</v>
      </c>
      <c r="V227" s="113">
        <v>245.52809999999999</v>
      </c>
      <c r="W227" s="113">
        <f t="shared" si="66"/>
        <v>42236971.402499996</v>
      </c>
      <c r="X227" s="99" t="s">
        <v>452</v>
      </c>
      <c r="AM227" t="s">
        <v>25</v>
      </c>
    </row>
    <row r="228" spans="17:44">
      <c r="Q228" s="96"/>
      <c r="T228" s="168" t="s">
        <v>4614</v>
      </c>
      <c r="U228" s="168">
        <v>189227</v>
      </c>
      <c r="V228" s="113">
        <v>245.52809999999999</v>
      </c>
      <c r="W228" s="113">
        <f t="shared" si="66"/>
        <v>46460545.778700002</v>
      </c>
      <c r="X228" s="99" t="s">
        <v>750</v>
      </c>
      <c r="Y228" s="96"/>
      <c r="AJ228" t="s">
        <v>25</v>
      </c>
    </row>
    <row r="229" spans="17:44">
      <c r="T229" s="168" t="s">
        <v>4615</v>
      </c>
      <c r="U229" s="168">
        <v>79720</v>
      </c>
      <c r="V229" s="113">
        <v>246.6568</v>
      </c>
      <c r="W229" s="113">
        <f t="shared" si="66"/>
        <v>19663480.096000001</v>
      </c>
      <c r="X229" s="99" t="s">
        <v>452</v>
      </c>
      <c r="Y229" t="s">
        <v>25</v>
      </c>
    </row>
    <row r="230" spans="17:44">
      <c r="Q230" s="99" t="s">
        <v>8</v>
      </c>
      <c r="R230" s="99" t="s">
        <v>4436</v>
      </c>
      <c r="S230" s="99"/>
      <c r="T230" s="168" t="s">
        <v>4615</v>
      </c>
      <c r="U230" s="168">
        <v>79720</v>
      </c>
      <c r="V230" s="113">
        <v>246.6568</v>
      </c>
      <c r="W230" s="113">
        <f t="shared" si="66"/>
        <v>19663480.096000001</v>
      </c>
      <c r="X230" s="99" t="s">
        <v>750</v>
      </c>
      <c r="AQ230" t="s">
        <v>25</v>
      </c>
    </row>
    <row r="231" spans="17:44">
      <c r="Q231" s="99"/>
      <c r="R231" s="36" t="s">
        <v>180</v>
      </c>
      <c r="S231" s="99" t="s">
        <v>267</v>
      </c>
      <c r="T231" s="168" t="s">
        <v>4639</v>
      </c>
      <c r="U231" s="168">
        <v>17769</v>
      </c>
      <c r="V231" s="113">
        <v>246.17877999999999</v>
      </c>
      <c r="W231" s="113">
        <f t="shared" si="66"/>
        <v>4374350.7418200001</v>
      </c>
      <c r="X231" s="99" t="s">
        <v>750</v>
      </c>
    </row>
    <row r="232" spans="17:44">
      <c r="Q232" s="99"/>
      <c r="R232" s="99" t="s">
        <v>4429</v>
      </c>
      <c r="S232" s="95">
        <v>3000000</v>
      </c>
      <c r="T232" s="168" t="s">
        <v>4639</v>
      </c>
      <c r="U232" s="168">
        <v>17769</v>
      </c>
      <c r="V232" s="113">
        <v>246.17877999999999</v>
      </c>
      <c r="W232" s="113">
        <f t="shared" si="66"/>
        <v>4374350.7418200001</v>
      </c>
      <c r="X232" s="99" t="s">
        <v>452</v>
      </c>
    </row>
    <row r="233" spans="17:44">
      <c r="Q233" s="99"/>
      <c r="R233" s="99" t="s">
        <v>4482</v>
      </c>
      <c r="S233" s="95">
        <v>2000000</v>
      </c>
      <c r="T233" s="168" t="s">
        <v>4642</v>
      </c>
      <c r="U233" s="168">
        <v>12438</v>
      </c>
      <c r="V233" s="113">
        <v>241.20465999999999</v>
      </c>
      <c r="W233" s="113">
        <f t="shared" si="66"/>
        <v>3000103.5610799999</v>
      </c>
      <c r="X233" s="99" t="s">
        <v>4436</v>
      </c>
      <c r="Y233" t="s">
        <v>25</v>
      </c>
      <c r="AH233" s="99" t="s">
        <v>3638</v>
      </c>
      <c r="AI233" s="99" t="s">
        <v>180</v>
      </c>
      <c r="AJ233" s="99" t="s">
        <v>267</v>
      </c>
      <c r="AK233" s="99" t="s">
        <v>4055</v>
      </c>
      <c r="AL233" s="99" t="s">
        <v>4047</v>
      </c>
      <c r="AM233" s="99" t="s">
        <v>282</v>
      </c>
      <c r="AN233" s="99" t="s">
        <v>4284</v>
      </c>
    </row>
    <row r="234" spans="17:44">
      <c r="Q234" s="99"/>
      <c r="R234" s="99" t="s">
        <v>4490</v>
      </c>
      <c r="S234" s="95">
        <v>1000000</v>
      </c>
      <c r="T234" s="168" t="s">
        <v>4651</v>
      </c>
      <c r="U234" s="168">
        <v>27363</v>
      </c>
      <c r="V234" s="113">
        <v>239.3886</v>
      </c>
      <c r="W234" s="113">
        <f t="shared" si="66"/>
        <v>6550390.2617999995</v>
      </c>
      <c r="X234" s="99" t="s">
        <v>750</v>
      </c>
      <c r="AH234" s="99">
        <v>1</v>
      </c>
      <c r="AI234" s="99" t="s">
        <v>3946</v>
      </c>
      <c r="AJ234" s="117">
        <v>3555820</v>
      </c>
      <c r="AK234" s="99">
        <v>2</v>
      </c>
      <c r="AL234" s="99">
        <f>AK234+AL235</f>
        <v>467</v>
      </c>
      <c r="AM234" s="99">
        <f>AJ234*AL234</f>
        <v>1660567940</v>
      </c>
      <c r="AN234" s="99" t="s">
        <v>4304</v>
      </c>
    </row>
    <row r="235" spans="17:44">
      <c r="Q235" s="99"/>
      <c r="R235" s="99" t="s">
        <v>4496</v>
      </c>
      <c r="S235" s="95">
        <v>2000000</v>
      </c>
      <c r="T235" s="168" t="s">
        <v>4651</v>
      </c>
      <c r="U235" s="168">
        <v>27363</v>
      </c>
      <c r="V235" s="113">
        <v>239.3886</v>
      </c>
      <c r="W235" s="113">
        <f t="shared" si="66"/>
        <v>6550390.2617999995</v>
      </c>
      <c r="X235" s="99" t="s">
        <v>452</v>
      </c>
      <c r="Z235" t="s">
        <v>25</v>
      </c>
      <c r="AA235" t="s">
        <v>25</v>
      </c>
      <c r="AH235" s="99">
        <v>2</v>
      </c>
      <c r="AI235" s="99" t="s">
        <v>4021</v>
      </c>
      <c r="AJ235" s="117">
        <v>1720837</v>
      </c>
      <c r="AK235" s="99">
        <v>51</v>
      </c>
      <c r="AL235" s="99">
        <f t="shared" ref="AL235:AL244" si="67">AK235+AL236</f>
        <v>465</v>
      </c>
      <c r="AM235" s="99">
        <f t="shared" ref="AM235:AM263" si="68">AJ235*AL235</f>
        <v>800189205</v>
      </c>
      <c r="AN235" s="99" t="s">
        <v>4305</v>
      </c>
    </row>
    <row r="236" spans="17:44">
      <c r="Q236" s="99"/>
      <c r="R236" s="99" t="s">
        <v>992</v>
      </c>
      <c r="S236" s="95">
        <v>3000000</v>
      </c>
      <c r="T236" s="210" t="s">
        <v>4653</v>
      </c>
      <c r="U236" s="210">
        <v>27437</v>
      </c>
      <c r="V236" s="113">
        <v>242.4015</v>
      </c>
      <c r="W236" s="113">
        <f t="shared" si="66"/>
        <v>6650769.9555000002</v>
      </c>
      <c r="X236" s="99" t="s">
        <v>750</v>
      </c>
      <c r="AH236" s="99">
        <v>3</v>
      </c>
      <c r="AI236" s="99" t="s">
        <v>4127</v>
      </c>
      <c r="AJ236" s="117">
        <v>150000</v>
      </c>
      <c r="AK236" s="99">
        <v>3</v>
      </c>
      <c r="AL236" s="99">
        <f t="shared" si="67"/>
        <v>414</v>
      </c>
      <c r="AM236" s="99">
        <f t="shared" si="68"/>
        <v>62100000</v>
      </c>
      <c r="AN236" s="99"/>
    </row>
    <row r="237" spans="17:44">
      <c r="Q237" s="99"/>
      <c r="R237" s="99" t="s">
        <v>4642</v>
      </c>
      <c r="S237" s="95">
        <v>3000000</v>
      </c>
      <c r="T237" s="210" t="s">
        <v>4653</v>
      </c>
      <c r="U237" s="210">
        <v>29104</v>
      </c>
      <c r="V237" s="113">
        <v>242.4015</v>
      </c>
      <c r="W237" s="113">
        <f t="shared" si="66"/>
        <v>7054853.2560000001</v>
      </c>
      <c r="X237" s="99" t="s">
        <v>452</v>
      </c>
      <c r="Y237" t="s">
        <v>25</v>
      </c>
      <c r="AH237" s="99">
        <v>4</v>
      </c>
      <c r="AI237" s="99" t="s">
        <v>4142</v>
      </c>
      <c r="AJ237" s="117">
        <v>-95000</v>
      </c>
      <c r="AK237" s="99">
        <v>8</v>
      </c>
      <c r="AL237" s="99">
        <f t="shared" si="67"/>
        <v>411</v>
      </c>
      <c r="AM237" s="99">
        <f t="shared" si="68"/>
        <v>-39045000</v>
      </c>
      <c r="AN237" s="99"/>
    </row>
    <row r="238" spans="17:44">
      <c r="Q238" s="99" t="s">
        <v>4830</v>
      </c>
      <c r="R238" s="99" t="s">
        <v>4825</v>
      </c>
      <c r="S238" s="95">
        <v>-800000</v>
      </c>
      <c r="T238" s="213" t="s">
        <v>4676</v>
      </c>
      <c r="U238" s="213">
        <v>8991</v>
      </c>
      <c r="V238" s="113">
        <v>238.64867000000001</v>
      </c>
      <c r="W238" s="113">
        <f t="shared" si="66"/>
        <v>2145690.19197</v>
      </c>
      <c r="X238" s="99" t="s">
        <v>750</v>
      </c>
      <c r="AH238" s="99">
        <v>5</v>
      </c>
      <c r="AI238" s="99" t="s">
        <v>4167</v>
      </c>
      <c r="AJ238" s="117">
        <v>3150000</v>
      </c>
      <c r="AK238" s="99">
        <v>16</v>
      </c>
      <c r="AL238" s="99">
        <f t="shared" si="67"/>
        <v>403</v>
      </c>
      <c r="AM238" s="99">
        <f t="shared" si="68"/>
        <v>1269450000</v>
      </c>
      <c r="AN238" s="99"/>
      <c r="AR238" t="s">
        <v>25</v>
      </c>
    </row>
    <row r="239" spans="17:44">
      <c r="Q239" s="99" t="s">
        <v>4831</v>
      </c>
      <c r="R239" s="99" t="s">
        <v>4825</v>
      </c>
      <c r="S239" s="95">
        <v>-900000</v>
      </c>
      <c r="T239" s="213" t="s">
        <v>4676</v>
      </c>
      <c r="U239" s="213">
        <v>8991</v>
      </c>
      <c r="V239" s="113">
        <v>238.64867000000001</v>
      </c>
      <c r="W239" s="113">
        <f t="shared" si="66"/>
        <v>2145690.19197</v>
      </c>
      <c r="X239" s="99" t="s">
        <v>452</v>
      </c>
      <c r="AH239" s="99">
        <v>6</v>
      </c>
      <c r="AI239" s="99" t="s">
        <v>4232</v>
      </c>
      <c r="AJ239" s="117">
        <v>-65000</v>
      </c>
      <c r="AK239" s="99">
        <v>1</v>
      </c>
      <c r="AL239" s="99">
        <f t="shared" si="67"/>
        <v>387</v>
      </c>
      <c r="AM239" s="99">
        <f t="shared" si="68"/>
        <v>-25155000</v>
      </c>
      <c r="AN239" s="99"/>
      <c r="AR239" t="s">
        <v>25</v>
      </c>
    </row>
    <row r="240" spans="17:44">
      <c r="Q240" s="99" t="s">
        <v>4831</v>
      </c>
      <c r="R240" s="99" t="s">
        <v>979</v>
      </c>
      <c r="S240" s="95">
        <v>-1100000</v>
      </c>
      <c r="T240" s="213" t="s">
        <v>4687</v>
      </c>
      <c r="U240" s="213">
        <v>18170</v>
      </c>
      <c r="V240" s="113">
        <v>240.48475999999999</v>
      </c>
      <c r="W240" s="113">
        <f t="shared" si="66"/>
        <v>4369608.0892000003</v>
      </c>
      <c r="X240" s="99" t="s">
        <v>750</v>
      </c>
      <c r="AH240" s="99">
        <v>7</v>
      </c>
      <c r="AI240" s="99" t="s">
        <v>4306</v>
      </c>
      <c r="AJ240" s="117">
        <v>-95000</v>
      </c>
      <c r="AK240" s="99">
        <v>6</v>
      </c>
      <c r="AL240" s="99">
        <f t="shared" si="67"/>
        <v>386</v>
      </c>
      <c r="AM240" s="99">
        <f t="shared" si="68"/>
        <v>-36670000</v>
      </c>
      <c r="AN240" s="99"/>
    </row>
    <row r="241" spans="16:43">
      <c r="Q241" s="195" t="s">
        <v>1084</v>
      </c>
      <c r="R241" s="195" t="s">
        <v>4854</v>
      </c>
      <c r="S241" s="241">
        <v>30000000</v>
      </c>
      <c r="T241" s="213" t="s">
        <v>4687</v>
      </c>
      <c r="U241" s="213">
        <v>18170</v>
      </c>
      <c r="V241" s="113">
        <v>240.48475999999999</v>
      </c>
      <c r="W241" s="113">
        <f t="shared" si="66"/>
        <v>4369608.0892000003</v>
      </c>
      <c r="X241" s="99" t="s">
        <v>452</v>
      </c>
      <c r="AH241" s="99">
        <v>8</v>
      </c>
      <c r="AI241" s="99" t="s">
        <v>4307</v>
      </c>
      <c r="AJ241" s="117">
        <v>232000</v>
      </c>
      <c r="AK241" s="99">
        <v>7</v>
      </c>
      <c r="AL241" s="99">
        <f t="shared" si="67"/>
        <v>380</v>
      </c>
      <c r="AM241" s="99">
        <f t="shared" si="68"/>
        <v>88160000</v>
      </c>
      <c r="AN241" s="99"/>
    </row>
    <row r="242" spans="16:43">
      <c r="Q242" s="20" t="s">
        <v>4939</v>
      </c>
      <c r="R242" s="20" t="s">
        <v>4937</v>
      </c>
      <c r="S242" s="246">
        <v>2000000</v>
      </c>
      <c r="T242" s="213" t="s">
        <v>4689</v>
      </c>
      <c r="U242" s="213">
        <v>36797</v>
      </c>
      <c r="V242" s="113">
        <v>239.0822</v>
      </c>
      <c r="W242" s="113">
        <f t="shared" si="66"/>
        <v>8797507.7134000007</v>
      </c>
      <c r="X242" s="99" t="s">
        <v>750</v>
      </c>
      <c r="AH242" s="99">
        <v>9</v>
      </c>
      <c r="AI242" s="99" t="s">
        <v>4283</v>
      </c>
      <c r="AJ242" s="117">
        <v>13000000</v>
      </c>
      <c r="AK242" s="99">
        <v>2</v>
      </c>
      <c r="AL242" s="99">
        <f t="shared" si="67"/>
        <v>373</v>
      </c>
      <c r="AM242" s="99">
        <f t="shared" si="68"/>
        <v>4849000000</v>
      </c>
      <c r="AN242" s="99"/>
    </row>
    <row r="243" spans="16:43">
      <c r="Q243" s="149" t="s">
        <v>4964</v>
      </c>
      <c r="R243" s="149" t="s">
        <v>4963</v>
      </c>
      <c r="S243" s="150">
        <v>480105</v>
      </c>
      <c r="T243" s="213" t="s">
        <v>4689</v>
      </c>
      <c r="U243" s="213">
        <v>36797</v>
      </c>
      <c r="V243" s="113">
        <v>239.0822</v>
      </c>
      <c r="W243" s="113">
        <f t="shared" si="66"/>
        <v>8797507.7134000007</v>
      </c>
      <c r="X243" s="99" t="s">
        <v>452</v>
      </c>
      <c r="AH243" s="99">
        <v>10</v>
      </c>
      <c r="AI243" s="99" t="s">
        <v>4308</v>
      </c>
      <c r="AJ243" s="117">
        <v>10000000</v>
      </c>
      <c r="AK243" s="99">
        <v>3</v>
      </c>
      <c r="AL243" s="99">
        <f t="shared" si="67"/>
        <v>371</v>
      </c>
      <c r="AM243" s="99">
        <f t="shared" si="68"/>
        <v>3710000000</v>
      </c>
      <c r="AN243" s="99"/>
    </row>
    <row r="244" spans="16:43">
      <c r="Q244" s="149"/>
      <c r="R244" s="149" t="s">
        <v>5016</v>
      </c>
      <c r="S244" s="150">
        <v>30500000</v>
      </c>
      <c r="T244" s="213" t="s">
        <v>4698</v>
      </c>
      <c r="U244" s="213">
        <v>28066</v>
      </c>
      <c r="V244" s="113">
        <v>237.56970000000001</v>
      </c>
      <c r="W244" s="113">
        <f t="shared" si="66"/>
        <v>6667631.2002000008</v>
      </c>
      <c r="X244" s="99" t="s">
        <v>750</v>
      </c>
      <c r="AH244" s="99">
        <v>11</v>
      </c>
      <c r="AI244" s="99" t="s">
        <v>4296</v>
      </c>
      <c r="AJ244" s="117">
        <v>3400000</v>
      </c>
      <c r="AK244" s="99">
        <v>9</v>
      </c>
      <c r="AL244" s="99">
        <f t="shared" si="67"/>
        <v>368</v>
      </c>
      <c r="AM244" s="99">
        <f t="shared" si="68"/>
        <v>1251200000</v>
      </c>
      <c r="AN244" s="99"/>
    </row>
    <row r="245" spans="16:43">
      <c r="Q245" s="20" t="s">
        <v>5061</v>
      </c>
      <c r="R245" s="20" t="s">
        <v>5056</v>
      </c>
      <c r="S245" s="246">
        <v>-400000</v>
      </c>
      <c r="T245" s="213" t="s">
        <v>4698</v>
      </c>
      <c r="U245" s="213">
        <v>28066</v>
      </c>
      <c r="V245" s="113">
        <v>237.56970000000001</v>
      </c>
      <c r="W245" s="113">
        <f t="shared" si="66"/>
        <v>6667631.2002000008</v>
      </c>
      <c r="X245" s="99" t="s">
        <v>452</v>
      </c>
      <c r="AH245" s="99">
        <v>12</v>
      </c>
      <c r="AI245" s="99" t="s">
        <v>4337</v>
      </c>
      <c r="AJ245" s="117">
        <v>-8736514</v>
      </c>
      <c r="AK245" s="99">
        <v>1</v>
      </c>
      <c r="AL245" s="99">
        <f>AK245+AL246</f>
        <v>359</v>
      </c>
      <c r="AM245" s="99">
        <f t="shared" si="68"/>
        <v>-3136408526</v>
      </c>
      <c r="AN245" s="99"/>
    </row>
    <row r="246" spans="16:43">
      <c r="P246" t="s">
        <v>25</v>
      </c>
      <c r="Q246" s="149" t="s">
        <v>5204</v>
      </c>
      <c r="R246" s="149" t="s">
        <v>5099</v>
      </c>
      <c r="S246" s="150">
        <v>-349550</v>
      </c>
      <c r="T246" s="213" t="s">
        <v>3681</v>
      </c>
      <c r="U246" s="213">
        <v>37457</v>
      </c>
      <c r="V246" s="113">
        <v>239.77</v>
      </c>
      <c r="W246" s="113">
        <f t="shared" si="66"/>
        <v>8981064.8900000006</v>
      </c>
      <c r="X246" s="99" t="s">
        <v>750</v>
      </c>
      <c r="AH246" s="99">
        <v>13</v>
      </c>
      <c r="AI246" s="99" t="s">
        <v>4338</v>
      </c>
      <c r="AJ246" s="117">
        <v>555000</v>
      </c>
      <c r="AK246" s="99">
        <v>5</v>
      </c>
      <c r="AL246" s="99">
        <f t="shared" ref="AL246:AL262" si="69">AK246+AL247</f>
        <v>358</v>
      </c>
      <c r="AM246" s="99">
        <f t="shared" si="68"/>
        <v>198690000</v>
      </c>
      <c r="AN246" s="99"/>
    </row>
    <row r="247" spans="16:43">
      <c r="Q247" s="149" t="s">
        <v>5244</v>
      </c>
      <c r="R247" s="149" t="s">
        <v>5240</v>
      </c>
      <c r="S247" s="150">
        <v>11500000</v>
      </c>
      <c r="T247" s="213" t="s">
        <v>3681</v>
      </c>
      <c r="U247" s="213">
        <v>37457</v>
      </c>
      <c r="V247" s="113">
        <v>239.77</v>
      </c>
      <c r="W247" s="113">
        <f t="shared" si="66"/>
        <v>8981064.8900000006</v>
      </c>
      <c r="X247" s="99" t="s">
        <v>452</v>
      </c>
      <c r="AH247" s="99">
        <v>14</v>
      </c>
      <c r="AI247" s="99" t="s">
        <v>4362</v>
      </c>
      <c r="AJ247" s="117">
        <v>-448308</v>
      </c>
      <c r="AK247" s="99">
        <v>6</v>
      </c>
      <c r="AL247" s="99">
        <f t="shared" si="69"/>
        <v>353</v>
      </c>
      <c r="AM247" s="99">
        <f t="shared" si="68"/>
        <v>-158252724</v>
      </c>
      <c r="AN247" s="99"/>
    </row>
    <row r="248" spans="16:43">
      <c r="Q248" s="149" t="s">
        <v>5278</v>
      </c>
      <c r="R248" s="149" t="s">
        <v>5275</v>
      </c>
      <c r="S248" s="150">
        <v>6000000</v>
      </c>
      <c r="T248" s="213" t="s">
        <v>4711</v>
      </c>
      <c r="U248" s="213">
        <v>38412</v>
      </c>
      <c r="V248" s="113">
        <v>239.03</v>
      </c>
      <c r="W248" s="113">
        <f t="shared" si="66"/>
        <v>9181620.3599999994</v>
      </c>
      <c r="X248" s="99" t="s">
        <v>750</v>
      </c>
      <c r="AH248" s="99">
        <v>15</v>
      </c>
      <c r="AI248" s="99" t="s">
        <v>4392</v>
      </c>
      <c r="AJ248" s="117">
        <v>33225</v>
      </c>
      <c r="AK248" s="99">
        <v>0</v>
      </c>
      <c r="AL248" s="99">
        <f t="shared" si="69"/>
        <v>347</v>
      </c>
      <c r="AM248" s="99">
        <f t="shared" si="68"/>
        <v>11529075</v>
      </c>
      <c r="AN248" s="99"/>
    </row>
    <row r="249" spans="16:43">
      <c r="Q249" s="149" t="s">
        <v>5281</v>
      </c>
      <c r="R249" s="149" t="s">
        <v>5280</v>
      </c>
      <c r="S249" s="150">
        <v>1500000</v>
      </c>
      <c r="T249" s="213" t="s">
        <v>4711</v>
      </c>
      <c r="U249" s="213">
        <v>38412</v>
      </c>
      <c r="V249" s="113">
        <v>239.03</v>
      </c>
      <c r="W249" s="113">
        <f t="shared" si="66"/>
        <v>9181620.3599999994</v>
      </c>
      <c r="X249" s="99" t="s">
        <v>452</v>
      </c>
      <c r="AH249" s="149">
        <v>16</v>
      </c>
      <c r="AI249" s="149" t="s">
        <v>4392</v>
      </c>
      <c r="AJ249" s="188">
        <v>4098523</v>
      </c>
      <c r="AK249" s="149">
        <v>2</v>
      </c>
      <c r="AL249" s="149">
        <f t="shared" si="69"/>
        <v>347</v>
      </c>
      <c r="AM249" s="149">
        <f t="shared" si="68"/>
        <v>1422187481</v>
      </c>
      <c r="AN249" s="149" t="s">
        <v>656</v>
      </c>
      <c r="AP249" t="s">
        <v>25</v>
      </c>
    </row>
    <row r="250" spans="16:43">
      <c r="Q250" s="20" t="s">
        <v>5061</v>
      </c>
      <c r="R250" s="20" t="s">
        <v>5291</v>
      </c>
      <c r="S250" s="246">
        <v>-200000</v>
      </c>
      <c r="T250" s="213" t="s">
        <v>4715</v>
      </c>
      <c r="U250" s="213">
        <v>49555</v>
      </c>
      <c r="V250" s="113">
        <v>238.345</v>
      </c>
      <c r="W250" s="113">
        <f t="shared" si="66"/>
        <v>11811186.475</v>
      </c>
      <c r="X250" s="99" t="s">
        <v>750</v>
      </c>
      <c r="Y250" t="s">
        <v>25</v>
      </c>
      <c r="AH250" s="149">
        <v>17</v>
      </c>
      <c r="AI250" s="149" t="s">
        <v>4405</v>
      </c>
      <c r="AJ250" s="188">
        <v>-1000000</v>
      </c>
      <c r="AK250" s="149">
        <v>7</v>
      </c>
      <c r="AL250" s="149">
        <f t="shared" si="69"/>
        <v>345</v>
      </c>
      <c r="AM250" s="149">
        <f t="shared" si="68"/>
        <v>-345000000</v>
      </c>
      <c r="AN250" s="149" t="s">
        <v>656</v>
      </c>
    </row>
    <row r="251" spans="16:43">
      <c r="Q251" s="195" t="s">
        <v>5324</v>
      </c>
      <c r="R251" s="195" t="s">
        <v>5323</v>
      </c>
      <c r="S251" s="241">
        <v>1000000</v>
      </c>
      <c r="T251" s="213" t="s">
        <v>4715</v>
      </c>
      <c r="U251" s="213">
        <v>49555</v>
      </c>
      <c r="V251" s="113">
        <v>238.345</v>
      </c>
      <c r="W251" s="113">
        <f t="shared" si="66"/>
        <v>11811186.475</v>
      </c>
      <c r="X251" s="99" t="s">
        <v>452</v>
      </c>
      <c r="Y251" t="s">
        <v>25</v>
      </c>
      <c r="AH251" s="149">
        <v>18</v>
      </c>
      <c r="AI251" s="149" t="s">
        <v>4425</v>
      </c>
      <c r="AJ251" s="188">
        <v>750000</v>
      </c>
      <c r="AK251" s="149">
        <v>1</v>
      </c>
      <c r="AL251" s="149">
        <f t="shared" si="69"/>
        <v>338</v>
      </c>
      <c r="AM251" s="149">
        <f t="shared" si="68"/>
        <v>253500000</v>
      </c>
      <c r="AN251" s="149" t="s">
        <v>656</v>
      </c>
    </row>
    <row r="252" spans="16:43">
      <c r="Q252" s="20" t="s">
        <v>5061</v>
      </c>
      <c r="R252" s="20" t="s">
        <v>5352</v>
      </c>
      <c r="S252" s="246">
        <v>-122000</v>
      </c>
      <c r="T252" s="213" t="s">
        <v>4729</v>
      </c>
      <c r="U252" s="213">
        <v>160187</v>
      </c>
      <c r="V252" s="113">
        <v>257.49799999999999</v>
      </c>
      <c r="W252" s="113">
        <f t="shared" si="66"/>
        <v>41247832.126000002</v>
      </c>
      <c r="X252" s="99" t="s">
        <v>750</v>
      </c>
      <c r="AH252" s="195">
        <v>19</v>
      </c>
      <c r="AI252" s="195" t="s">
        <v>4427</v>
      </c>
      <c r="AJ252" s="196">
        <v>-604152</v>
      </c>
      <c r="AK252" s="195">
        <v>0</v>
      </c>
      <c r="AL252" s="195">
        <f t="shared" si="69"/>
        <v>337</v>
      </c>
      <c r="AM252" s="195">
        <f t="shared" si="68"/>
        <v>-203599224</v>
      </c>
      <c r="AN252" s="195" t="s">
        <v>656</v>
      </c>
    </row>
    <row r="253" spans="16:43">
      <c r="Q253" s="20" t="s">
        <v>5061</v>
      </c>
      <c r="R253" s="20" t="s">
        <v>5369</v>
      </c>
      <c r="S253" s="246">
        <v>-700000</v>
      </c>
      <c r="T253" s="213" t="s">
        <v>4729</v>
      </c>
      <c r="U253" s="213">
        <v>160187</v>
      </c>
      <c r="V253" s="113">
        <v>257.49799999999999</v>
      </c>
      <c r="W253" s="113">
        <f t="shared" si="66"/>
        <v>41247832.126000002</v>
      </c>
      <c r="X253" s="99" t="s">
        <v>452</v>
      </c>
      <c r="AH253" s="99">
        <v>20</v>
      </c>
      <c r="AI253" s="99" t="s">
        <v>4428</v>
      </c>
      <c r="AJ253" s="117">
        <v>-587083</v>
      </c>
      <c r="AK253" s="99">
        <v>4</v>
      </c>
      <c r="AL253" s="99">
        <f t="shared" si="69"/>
        <v>337</v>
      </c>
      <c r="AM253" s="99">
        <f t="shared" si="68"/>
        <v>-197846971</v>
      </c>
      <c r="AN253" s="99"/>
      <c r="AQ253" t="s">
        <v>25</v>
      </c>
    </row>
    <row r="254" spans="16:43">
      <c r="Q254" s="99"/>
      <c r="R254" s="99"/>
      <c r="S254" s="95"/>
      <c r="T254" s="213" t="s">
        <v>4737</v>
      </c>
      <c r="U254" s="213">
        <v>144401</v>
      </c>
      <c r="V254" s="113">
        <v>258.5061</v>
      </c>
      <c r="W254" s="113">
        <f t="shared" si="66"/>
        <v>37328539.346100003</v>
      </c>
      <c r="X254" s="99" t="s">
        <v>750</v>
      </c>
      <c r="AH254" s="195">
        <v>21</v>
      </c>
      <c r="AI254" s="195" t="s">
        <v>4429</v>
      </c>
      <c r="AJ254" s="196">
        <v>-754351</v>
      </c>
      <c r="AK254" s="195">
        <v>0</v>
      </c>
      <c r="AL254" s="149">
        <f t="shared" si="69"/>
        <v>333</v>
      </c>
      <c r="AM254" s="195">
        <f t="shared" si="68"/>
        <v>-251198883</v>
      </c>
      <c r="AN254" s="195" t="s">
        <v>656</v>
      </c>
    </row>
    <row r="255" spans="16:43">
      <c r="Q255" s="99"/>
      <c r="R255" s="99"/>
      <c r="S255" s="95">
        <f>SUM(S232:S254)</f>
        <v>92408555</v>
      </c>
      <c r="T255" s="213" t="s">
        <v>4737</v>
      </c>
      <c r="U255" s="213">
        <v>144401</v>
      </c>
      <c r="V255" s="113">
        <v>258.5061</v>
      </c>
      <c r="W255" s="113">
        <f t="shared" si="66"/>
        <v>37328539.346100003</v>
      </c>
      <c r="X255" s="99" t="s">
        <v>452</v>
      </c>
      <c r="AH255" s="99">
        <v>22</v>
      </c>
      <c r="AI255" s="99" t="s">
        <v>4429</v>
      </c>
      <c r="AJ255" s="117">
        <v>-189619</v>
      </c>
      <c r="AK255" s="99">
        <v>15</v>
      </c>
      <c r="AL255" s="99">
        <f t="shared" si="69"/>
        <v>333</v>
      </c>
      <c r="AM255" s="99">
        <f t="shared" si="68"/>
        <v>-63143127</v>
      </c>
      <c r="AN255" s="99"/>
    </row>
    <row r="256" spans="16:43">
      <c r="Q256" s="99"/>
      <c r="R256" s="99"/>
      <c r="S256" s="99" t="s">
        <v>6</v>
      </c>
      <c r="T256" s="168" t="s">
        <v>4744</v>
      </c>
      <c r="U256" s="168">
        <v>196500</v>
      </c>
      <c r="V256" s="113">
        <v>254.452</v>
      </c>
      <c r="W256" s="113">
        <f t="shared" si="66"/>
        <v>49999818</v>
      </c>
      <c r="X256" s="99" t="s">
        <v>4748</v>
      </c>
      <c r="AH256" s="195">
        <v>23</v>
      </c>
      <c r="AI256" s="195" t="s">
        <v>4500</v>
      </c>
      <c r="AJ256" s="188">
        <v>7100</v>
      </c>
      <c r="AK256" s="195">
        <v>0</v>
      </c>
      <c r="AL256" s="149">
        <f t="shared" si="69"/>
        <v>318</v>
      </c>
      <c r="AM256" s="195">
        <f t="shared" si="68"/>
        <v>2257800</v>
      </c>
      <c r="AN256" s="195" t="s">
        <v>656</v>
      </c>
    </row>
    <row r="257" spans="17:45">
      <c r="T257" s="213" t="s">
        <v>4744</v>
      </c>
      <c r="U257" s="213">
        <v>2561</v>
      </c>
      <c r="V257" s="113">
        <v>254.536</v>
      </c>
      <c r="W257" s="113">
        <f t="shared" si="66"/>
        <v>651866.696</v>
      </c>
      <c r="X257" s="99" t="s">
        <v>4749</v>
      </c>
      <c r="AH257" s="20">
        <v>24</v>
      </c>
      <c r="AI257" s="20" t="s">
        <v>4500</v>
      </c>
      <c r="AJ257" s="117">
        <v>-147902</v>
      </c>
      <c r="AK257" s="20">
        <v>3</v>
      </c>
      <c r="AL257" s="99">
        <f t="shared" si="69"/>
        <v>318</v>
      </c>
      <c r="AM257" s="20">
        <f t="shared" si="68"/>
        <v>-47032836</v>
      </c>
      <c r="AN257" s="20"/>
    </row>
    <row r="258" spans="17:45">
      <c r="Q258" s="96"/>
      <c r="R258" s="96" t="s">
        <v>25</v>
      </c>
      <c r="T258" s="213" t="s">
        <v>4793</v>
      </c>
      <c r="U258" s="213">
        <v>-11795</v>
      </c>
      <c r="V258" s="113">
        <v>254.334</v>
      </c>
      <c r="W258" s="113">
        <f t="shared" si="66"/>
        <v>-2999869.5300000003</v>
      </c>
      <c r="X258" s="99" t="s">
        <v>4794</v>
      </c>
      <c r="Z258" t="s">
        <v>25</v>
      </c>
      <c r="AH258" s="149">
        <v>25</v>
      </c>
      <c r="AI258" s="149" t="s">
        <v>4508</v>
      </c>
      <c r="AJ258" s="188">
        <v>-37200</v>
      </c>
      <c r="AK258" s="149">
        <v>4</v>
      </c>
      <c r="AL258" s="149">
        <f t="shared" si="69"/>
        <v>315</v>
      </c>
      <c r="AM258" s="195">
        <f t="shared" si="68"/>
        <v>-11718000</v>
      </c>
      <c r="AN258" s="149" t="s">
        <v>656</v>
      </c>
    </row>
    <row r="259" spans="17:45">
      <c r="Q259" s="96"/>
      <c r="R259" s="96" t="s">
        <v>25</v>
      </c>
      <c r="S259" t="s">
        <v>25</v>
      </c>
      <c r="T259" s="213" t="s">
        <v>4793</v>
      </c>
      <c r="U259" s="213">
        <v>11795</v>
      </c>
      <c r="V259" s="113">
        <v>254.334</v>
      </c>
      <c r="W259" s="113">
        <f t="shared" si="66"/>
        <v>2999869.5300000003</v>
      </c>
      <c r="X259" s="99" t="s">
        <v>4795</v>
      </c>
      <c r="AH259" s="99">
        <v>26</v>
      </c>
      <c r="AI259" s="99" t="s">
        <v>4539</v>
      </c>
      <c r="AJ259" s="117">
        <v>-372326</v>
      </c>
      <c r="AK259" s="99">
        <v>21</v>
      </c>
      <c r="AL259" s="99">
        <f t="shared" si="69"/>
        <v>311</v>
      </c>
      <c r="AM259" s="20">
        <f t="shared" si="68"/>
        <v>-115793386</v>
      </c>
      <c r="AN259" s="99"/>
    </row>
    <row r="260" spans="17:45">
      <c r="T260" s="213" t="s">
        <v>4807</v>
      </c>
      <c r="U260" s="213">
        <v>260</v>
      </c>
      <c r="V260" s="113">
        <v>263.19</v>
      </c>
      <c r="W260" s="113">
        <f t="shared" si="66"/>
        <v>68429.399999999994</v>
      </c>
      <c r="X260" s="99" t="s">
        <v>452</v>
      </c>
      <c r="AH260" s="99">
        <v>27</v>
      </c>
      <c r="AI260" s="99" t="s">
        <v>4591</v>
      </c>
      <c r="AJ260" s="117">
        <v>235062</v>
      </c>
      <c r="AK260" s="99">
        <v>0</v>
      </c>
      <c r="AL260" s="99">
        <f t="shared" si="69"/>
        <v>290</v>
      </c>
      <c r="AM260" s="20">
        <f t="shared" si="68"/>
        <v>68167980</v>
      </c>
      <c r="AN260" s="99"/>
    </row>
    <row r="261" spans="17:45">
      <c r="Q261" s="99" t="s">
        <v>750</v>
      </c>
      <c r="R261" s="99"/>
      <c r="T261" s="213" t="s">
        <v>4820</v>
      </c>
      <c r="U261" s="213">
        <v>15257</v>
      </c>
      <c r="V261" s="113">
        <v>262.19018</v>
      </c>
      <c r="W261" s="113">
        <f t="shared" si="66"/>
        <v>4000235.57626</v>
      </c>
      <c r="X261" s="99" t="s">
        <v>452</v>
      </c>
      <c r="AH261" s="149">
        <v>28</v>
      </c>
      <c r="AI261" s="149" t="s">
        <v>4591</v>
      </c>
      <c r="AJ261" s="188">
        <v>235062</v>
      </c>
      <c r="AK261" s="149">
        <v>9</v>
      </c>
      <c r="AL261" s="99">
        <f t="shared" si="69"/>
        <v>290</v>
      </c>
      <c r="AM261" s="149">
        <f t="shared" si="68"/>
        <v>68167980</v>
      </c>
      <c r="AN261" s="149" t="s">
        <v>656</v>
      </c>
    </row>
    <row r="262" spans="17:45">
      <c r="Q262" s="99" t="s">
        <v>4429</v>
      </c>
      <c r="R262" s="95">
        <v>172908000</v>
      </c>
      <c r="T262" s="213" t="s">
        <v>4820</v>
      </c>
      <c r="U262" s="213">
        <v>8444</v>
      </c>
      <c r="V262" s="113">
        <v>266.43029999999999</v>
      </c>
      <c r="W262" s="113">
        <f t="shared" si="66"/>
        <v>2249737.4531999999</v>
      </c>
      <c r="X262" s="99" t="s">
        <v>452</v>
      </c>
      <c r="AH262" s="149">
        <v>29</v>
      </c>
      <c r="AI262" s="149" t="s">
        <v>4615</v>
      </c>
      <c r="AJ262" s="188">
        <v>450000</v>
      </c>
      <c r="AK262" s="149">
        <v>0</v>
      </c>
      <c r="AL262" s="99">
        <f t="shared" si="69"/>
        <v>281</v>
      </c>
      <c r="AM262" s="149">
        <f t="shared" si="68"/>
        <v>126450000</v>
      </c>
      <c r="AN262" s="149" t="s">
        <v>656</v>
      </c>
    </row>
    <row r="263" spans="17:45">
      <c r="Q263" s="99" t="s">
        <v>4469</v>
      </c>
      <c r="R263" s="95">
        <v>1400000</v>
      </c>
      <c r="T263" s="213" t="s">
        <v>4825</v>
      </c>
      <c r="U263" s="213">
        <v>-6209</v>
      </c>
      <c r="V263" s="113">
        <v>273.79649999999998</v>
      </c>
      <c r="W263" s="113">
        <f t="shared" si="66"/>
        <v>-1700002.4685</v>
      </c>
      <c r="X263" s="99" t="s">
        <v>4836</v>
      </c>
      <c r="AH263" s="20">
        <v>30</v>
      </c>
      <c r="AI263" s="20" t="s">
        <v>4615</v>
      </c>
      <c r="AJ263" s="117">
        <v>450000</v>
      </c>
      <c r="AK263" s="20">
        <v>22</v>
      </c>
      <c r="AL263" s="99">
        <f>AK263+AL264</f>
        <v>281</v>
      </c>
      <c r="AM263" s="20">
        <f t="shared" si="68"/>
        <v>126450000</v>
      </c>
      <c r="AN263" s="20"/>
    </row>
    <row r="264" spans="17:45">
      <c r="Q264" s="99" t="s">
        <v>4223</v>
      </c>
      <c r="R264" s="95">
        <v>247393</v>
      </c>
      <c r="S264" t="s">
        <v>25</v>
      </c>
      <c r="T264" s="213" t="s">
        <v>4825</v>
      </c>
      <c r="U264" s="213">
        <v>-8014</v>
      </c>
      <c r="V264" s="113">
        <v>273.79649999999998</v>
      </c>
      <c r="W264" s="113">
        <f t="shared" si="66"/>
        <v>-2194205.1510000001</v>
      </c>
      <c r="X264" s="99" t="s">
        <v>750</v>
      </c>
      <c r="AH264" s="149">
        <v>31</v>
      </c>
      <c r="AI264" s="149" t="s">
        <v>4689</v>
      </c>
      <c r="AJ264" s="188">
        <v>300000</v>
      </c>
      <c r="AK264" s="149">
        <v>0</v>
      </c>
      <c r="AL264" s="149">
        <f t="shared" ref="AL264:AL279" si="70">AK264+AL265</f>
        <v>259</v>
      </c>
      <c r="AM264" s="149">
        <f t="shared" ref="AM264:AM267" si="71">AJ264*AL264</f>
        <v>77700000</v>
      </c>
      <c r="AN264" s="149"/>
    </row>
    <row r="265" spans="17:45" ht="30">
      <c r="Q265" s="99" t="s">
        <v>4222</v>
      </c>
      <c r="R265" s="95">
        <v>6780000</v>
      </c>
      <c r="T265" s="213" t="s">
        <v>4834</v>
      </c>
      <c r="U265" s="213">
        <v>-9176</v>
      </c>
      <c r="V265" s="113">
        <v>273.79649999999998</v>
      </c>
      <c r="W265" s="113">
        <f t="shared" si="66"/>
        <v>-2512356.6839999999</v>
      </c>
      <c r="X265" s="99" t="s">
        <v>452</v>
      </c>
      <c r="AH265" s="121">
        <v>32</v>
      </c>
      <c r="AI265" s="121" t="s">
        <v>4689</v>
      </c>
      <c r="AJ265" s="79">
        <v>288936</v>
      </c>
      <c r="AK265" s="121">
        <v>3</v>
      </c>
      <c r="AL265" s="121">
        <f t="shared" si="70"/>
        <v>259</v>
      </c>
      <c r="AM265" s="121">
        <f t="shared" si="71"/>
        <v>74834424</v>
      </c>
      <c r="AN265" s="205" t="s">
        <v>4700</v>
      </c>
    </row>
    <row r="266" spans="17:45">
      <c r="Q266" s="99" t="s">
        <v>4577</v>
      </c>
      <c r="R266" s="95">
        <v>-4000000</v>
      </c>
      <c r="T266" s="213" t="s">
        <v>4834</v>
      </c>
      <c r="U266" s="213">
        <v>1087</v>
      </c>
      <c r="V266" s="113">
        <v>273.79649999999998</v>
      </c>
      <c r="W266" s="113">
        <f t="shared" si="66"/>
        <v>297616.79550000001</v>
      </c>
      <c r="X266" s="99" t="s">
        <v>452</v>
      </c>
      <c r="AH266" s="121">
        <v>33</v>
      </c>
      <c r="AI266" s="121" t="s">
        <v>4698</v>
      </c>
      <c r="AJ266" s="79">
        <v>17962491</v>
      </c>
      <c r="AK266" s="121">
        <v>1</v>
      </c>
      <c r="AL266" s="121">
        <f t="shared" si="70"/>
        <v>256</v>
      </c>
      <c r="AM266" s="121">
        <f t="shared" si="71"/>
        <v>4598397696</v>
      </c>
      <c r="AN266" s="121" t="s">
        <v>4705</v>
      </c>
    </row>
    <row r="267" spans="17:45">
      <c r="Q267" s="99" t="s">
        <v>4609</v>
      </c>
      <c r="R267" s="95">
        <v>16727037</v>
      </c>
      <c r="T267" s="213" t="s">
        <v>979</v>
      </c>
      <c r="U267" s="213">
        <v>-4017</v>
      </c>
      <c r="V267" s="113">
        <v>273.79649999999998</v>
      </c>
      <c r="W267" s="113">
        <f t="shared" si="66"/>
        <v>-1099840.5404999999</v>
      </c>
      <c r="X267" s="99" t="s">
        <v>4436</v>
      </c>
      <c r="Y267" t="s">
        <v>25</v>
      </c>
      <c r="AH267" s="121">
        <v>34</v>
      </c>
      <c r="AI267" s="121" t="s">
        <v>3681</v>
      </c>
      <c r="AJ267" s="79">
        <v>18363511</v>
      </c>
      <c r="AK267" s="121">
        <v>1</v>
      </c>
      <c r="AL267" s="121">
        <f t="shared" si="70"/>
        <v>255</v>
      </c>
      <c r="AM267" s="121">
        <f t="shared" si="71"/>
        <v>4682695305</v>
      </c>
      <c r="AN267" s="121" t="s">
        <v>4705</v>
      </c>
      <c r="AS267" t="s">
        <v>25</v>
      </c>
    </row>
    <row r="268" spans="17:45">
      <c r="Q268" s="99" t="s">
        <v>4614</v>
      </c>
      <c r="R268" s="95">
        <v>46460683</v>
      </c>
      <c r="S268" t="s">
        <v>25</v>
      </c>
      <c r="T268" s="213" t="s">
        <v>979</v>
      </c>
      <c r="U268" s="213">
        <v>4017</v>
      </c>
      <c r="V268" s="113">
        <v>273.79649999999998</v>
      </c>
      <c r="W268" s="113">
        <f t="shared" si="66"/>
        <v>1099840.5404999999</v>
      </c>
      <c r="X268" s="99" t="s">
        <v>452</v>
      </c>
      <c r="AA268" t="s">
        <v>25</v>
      </c>
      <c r="AH268" s="121">
        <v>35</v>
      </c>
      <c r="AI268" s="121" t="s">
        <v>4711</v>
      </c>
      <c r="AJ268" s="79">
        <v>23622417</v>
      </c>
      <c r="AK268" s="121">
        <v>5</v>
      </c>
      <c r="AL268" s="121">
        <f t="shared" si="70"/>
        <v>254</v>
      </c>
      <c r="AM268" s="121">
        <f t="shared" ref="AM268:AM271" si="72">AJ268*AL268</f>
        <v>6000093918</v>
      </c>
      <c r="AN268" s="121" t="s">
        <v>4714</v>
      </c>
    </row>
    <row r="269" spans="17:45">
      <c r="Q269" s="99" t="s">
        <v>4615</v>
      </c>
      <c r="R269" s="95">
        <v>19663646</v>
      </c>
      <c r="T269" s="213" t="s">
        <v>4841</v>
      </c>
      <c r="U269" s="213">
        <v>3137</v>
      </c>
      <c r="V269" s="113">
        <v>283.69110000000001</v>
      </c>
      <c r="W269" s="113">
        <f t="shared" si="66"/>
        <v>889938.98070000007</v>
      </c>
      <c r="X269" s="99" t="s">
        <v>452</v>
      </c>
      <c r="AH269" s="121">
        <v>36</v>
      </c>
      <c r="AI269" s="121" t="s">
        <v>4727</v>
      </c>
      <c r="AJ269" s="79">
        <v>82496108</v>
      </c>
      <c r="AK269" s="121">
        <v>1</v>
      </c>
      <c r="AL269" s="121">
        <f t="shared" si="70"/>
        <v>249</v>
      </c>
      <c r="AM269" s="121">
        <f t="shared" si="72"/>
        <v>20541530892</v>
      </c>
      <c r="AN269" s="121" t="s">
        <v>4730</v>
      </c>
    </row>
    <row r="270" spans="17:45">
      <c r="Q270" s="99" t="s">
        <v>4639</v>
      </c>
      <c r="R270" s="95">
        <v>4374525</v>
      </c>
      <c r="T270" s="213" t="s">
        <v>4854</v>
      </c>
      <c r="U270" s="213">
        <v>101933</v>
      </c>
      <c r="V270" s="113">
        <v>294.30973999999998</v>
      </c>
      <c r="W270" s="113">
        <f t="shared" si="66"/>
        <v>29999874.727419998</v>
      </c>
      <c r="X270" s="99" t="s">
        <v>1084</v>
      </c>
      <c r="AH270" s="121">
        <v>37</v>
      </c>
      <c r="AI270" s="121" t="s">
        <v>4729</v>
      </c>
      <c r="AJ270" s="79">
        <v>74657561</v>
      </c>
      <c r="AK270" s="121">
        <v>16</v>
      </c>
      <c r="AL270" s="121">
        <f t="shared" si="70"/>
        <v>248</v>
      </c>
      <c r="AM270" s="121">
        <f t="shared" si="72"/>
        <v>18515075128</v>
      </c>
      <c r="AN270" s="121" t="s">
        <v>4736</v>
      </c>
    </row>
    <row r="271" spans="17:45">
      <c r="Q271" s="99" t="s">
        <v>4651</v>
      </c>
      <c r="R271" s="95">
        <v>6550580</v>
      </c>
      <c r="T271" s="213" t="s">
        <v>4861</v>
      </c>
      <c r="U271" s="213">
        <v>3407</v>
      </c>
      <c r="V271" s="113">
        <v>293.43799999999999</v>
      </c>
      <c r="W271" s="113">
        <f t="shared" si="66"/>
        <v>999743.26599999995</v>
      </c>
      <c r="X271" s="99" t="s">
        <v>452</v>
      </c>
      <c r="AH271" s="99">
        <v>38</v>
      </c>
      <c r="AI271" s="99" t="s">
        <v>4807</v>
      </c>
      <c r="AJ271" s="117">
        <v>665000</v>
      </c>
      <c r="AK271" s="99">
        <v>0</v>
      </c>
      <c r="AL271" s="99">
        <f t="shared" si="70"/>
        <v>232</v>
      </c>
      <c r="AM271" s="20">
        <f t="shared" si="72"/>
        <v>154280000</v>
      </c>
      <c r="AN271" s="99"/>
      <c r="AR271" t="s">
        <v>25</v>
      </c>
    </row>
    <row r="272" spans="17:45">
      <c r="Q272" s="99" t="s">
        <v>4653</v>
      </c>
      <c r="R272" s="95">
        <v>6650895</v>
      </c>
      <c r="T272" s="213" t="s">
        <v>4862</v>
      </c>
      <c r="U272" s="213">
        <v>68796</v>
      </c>
      <c r="V272" s="113">
        <v>293.53250000000003</v>
      </c>
      <c r="W272" s="113">
        <f t="shared" si="66"/>
        <v>20193861.870000001</v>
      </c>
      <c r="X272" s="99" t="s">
        <v>750</v>
      </c>
      <c r="AH272" s="149">
        <v>39</v>
      </c>
      <c r="AI272" s="149" t="s">
        <v>4807</v>
      </c>
      <c r="AJ272" s="188">
        <v>665000</v>
      </c>
      <c r="AK272" s="149">
        <v>4</v>
      </c>
      <c r="AL272" s="195">
        <f t="shared" si="70"/>
        <v>232</v>
      </c>
      <c r="AM272" s="195">
        <f t="shared" ref="AM272:AM273" si="73">AJ272*AL272</f>
        <v>154280000</v>
      </c>
      <c r="AN272" s="195"/>
    </row>
    <row r="273" spans="17:40">
      <c r="Q273" s="99" t="s">
        <v>4676</v>
      </c>
      <c r="R273" s="95">
        <v>2145814</v>
      </c>
      <c r="T273" s="213" t="s">
        <v>4862</v>
      </c>
      <c r="U273" s="213">
        <v>154791</v>
      </c>
      <c r="V273" s="113">
        <v>293.53250000000003</v>
      </c>
      <c r="W273" s="113">
        <f t="shared" si="66"/>
        <v>45436189.207500003</v>
      </c>
      <c r="X273" s="99" t="s">
        <v>452</v>
      </c>
      <c r="Y273" t="s">
        <v>25</v>
      </c>
      <c r="AH273" s="20">
        <v>40</v>
      </c>
      <c r="AI273" s="20" t="s">
        <v>4820</v>
      </c>
      <c r="AJ273" s="117">
        <v>2000000</v>
      </c>
      <c r="AK273" s="20">
        <v>1</v>
      </c>
      <c r="AL273" s="99">
        <f t="shared" si="70"/>
        <v>228</v>
      </c>
      <c r="AM273" s="20">
        <f t="shared" si="73"/>
        <v>456000000</v>
      </c>
      <c r="AN273" s="99"/>
    </row>
    <row r="274" spans="17:40">
      <c r="Q274" s="99" t="s">
        <v>4687</v>
      </c>
      <c r="R274" s="95">
        <v>4369730</v>
      </c>
      <c r="T274" s="213" t="s">
        <v>4862</v>
      </c>
      <c r="U274" s="213">
        <v>-11923</v>
      </c>
      <c r="V274" s="113">
        <v>293.53250000000003</v>
      </c>
      <c r="W274" s="113">
        <f t="shared" si="66"/>
        <v>-3499787.9975000005</v>
      </c>
      <c r="X274" s="99" t="s">
        <v>452</v>
      </c>
      <c r="Y274" t="s">
        <v>25</v>
      </c>
      <c r="AH274" s="20">
        <v>41</v>
      </c>
      <c r="AI274" s="20" t="s">
        <v>4825</v>
      </c>
      <c r="AJ274" s="117">
        <v>-2060725</v>
      </c>
      <c r="AK274" s="20">
        <v>0</v>
      </c>
      <c r="AL274" s="99">
        <f t="shared" si="70"/>
        <v>227</v>
      </c>
      <c r="AM274" s="20">
        <f t="shared" ref="AM274:AM279" si="74">AJ274*AL274</f>
        <v>-467784575</v>
      </c>
      <c r="AN274" s="99" t="s">
        <v>4826</v>
      </c>
    </row>
    <row r="275" spans="17:40">
      <c r="Q275" s="99" t="s">
        <v>4689</v>
      </c>
      <c r="R275" s="95">
        <v>8739459</v>
      </c>
      <c r="S275" t="s">
        <v>25</v>
      </c>
      <c r="T275" s="213" t="s">
        <v>4875</v>
      </c>
      <c r="U275" s="213">
        <v>8424</v>
      </c>
      <c r="V275" s="113">
        <v>299.15170000000001</v>
      </c>
      <c r="W275" s="113">
        <f t="shared" si="66"/>
        <v>2520053.9208</v>
      </c>
      <c r="X275" s="99" t="s">
        <v>452</v>
      </c>
      <c r="AH275" s="149">
        <v>42</v>
      </c>
      <c r="AI275" s="149" t="s">
        <v>4825</v>
      </c>
      <c r="AJ275" s="188">
        <v>-433375</v>
      </c>
      <c r="AK275" s="149">
        <v>0</v>
      </c>
      <c r="AL275" s="149">
        <f t="shared" si="70"/>
        <v>227</v>
      </c>
      <c r="AM275" s="149">
        <f t="shared" si="74"/>
        <v>-98376125</v>
      </c>
      <c r="AN275" s="149" t="s">
        <v>4827</v>
      </c>
    </row>
    <row r="276" spans="17:40">
      <c r="Q276" s="99" t="s">
        <v>4698</v>
      </c>
      <c r="R276" s="95">
        <v>6667654</v>
      </c>
      <c r="T276" s="213" t="s">
        <v>4910</v>
      </c>
      <c r="U276" s="213">
        <v>15943</v>
      </c>
      <c r="V276" s="113">
        <v>307.34415000000001</v>
      </c>
      <c r="W276" s="113">
        <f t="shared" si="66"/>
        <v>4899987.78345</v>
      </c>
      <c r="X276" s="99" t="s">
        <v>452</v>
      </c>
      <c r="AH276" s="20">
        <v>43</v>
      </c>
      <c r="AI276" s="20" t="s">
        <v>4825</v>
      </c>
      <c r="AJ276" s="117">
        <v>28000000</v>
      </c>
      <c r="AK276" s="20">
        <v>1</v>
      </c>
      <c r="AL276" s="99">
        <f t="shared" si="70"/>
        <v>227</v>
      </c>
      <c r="AM276" s="20">
        <f t="shared" si="74"/>
        <v>6356000000</v>
      </c>
      <c r="AN276" s="99" t="s">
        <v>3888</v>
      </c>
    </row>
    <row r="277" spans="17:40">
      <c r="Q277" s="99" t="s">
        <v>4706</v>
      </c>
      <c r="R277" s="95">
        <v>8981245</v>
      </c>
      <c r="T277" s="213" t="s">
        <v>4931</v>
      </c>
      <c r="U277" s="213">
        <v>3741</v>
      </c>
      <c r="V277" s="113">
        <v>307.34415000000001</v>
      </c>
      <c r="W277" s="113">
        <f t="shared" si="66"/>
        <v>1149774.4651500001</v>
      </c>
      <c r="X277" s="99" t="s">
        <v>452</v>
      </c>
      <c r="AH277" s="20">
        <v>44</v>
      </c>
      <c r="AI277" s="20" t="s">
        <v>4834</v>
      </c>
      <c r="AJ277" s="117">
        <v>160000</v>
      </c>
      <c r="AK277" s="20">
        <v>0</v>
      </c>
      <c r="AL277" s="99">
        <f t="shared" si="70"/>
        <v>226</v>
      </c>
      <c r="AM277" s="20">
        <f t="shared" si="74"/>
        <v>36160000</v>
      </c>
      <c r="AN277" s="99"/>
    </row>
    <row r="278" spans="17:40">
      <c r="Q278" s="99" t="s">
        <v>4711</v>
      </c>
      <c r="R278" s="95">
        <v>9181756</v>
      </c>
      <c r="T278" s="213" t="s">
        <v>4937</v>
      </c>
      <c r="U278" s="213">
        <v>-6207</v>
      </c>
      <c r="V278" s="113">
        <v>322.214</v>
      </c>
      <c r="W278" s="113">
        <f t="shared" si="66"/>
        <v>-1999982.298</v>
      </c>
      <c r="X278" s="99" t="s">
        <v>750</v>
      </c>
      <c r="AH278" s="149">
        <v>45</v>
      </c>
      <c r="AI278" s="149" t="s">
        <v>4834</v>
      </c>
      <c r="AJ278" s="188">
        <v>70000</v>
      </c>
      <c r="AK278" s="149">
        <v>9</v>
      </c>
      <c r="AL278" s="149">
        <f t="shared" si="70"/>
        <v>226</v>
      </c>
      <c r="AM278" s="149">
        <f t="shared" si="74"/>
        <v>15820000</v>
      </c>
      <c r="AN278" s="149"/>
    </row>
    <row r="279" spans="17:40">
      <c r="Q279" s="99" t="s">
        <v>4715</v>
      </c>
      <c r="R279" s="95">
        <v>11811208</v>
      </c>
      <c r="S279" t="s">
        <v>25</v>
      </c>
      <c r="T279" s="213" t="s">
        <v>4937</v>
      </c>
      <c r="U279" s="213">
        <v>6207</v>
      </c>
      <c r="V279" s="113">
        <v>322.214</v>
      </c>
      <c r="W279" s="113">
        <f t="shared" si="66"/>
        <v>1999982.298</v>
      </c>
      <c r="X279" s="99" t="s">
        <v>4436</v>
      </c>
      <c r="AH279" s="20">
        <v>46</v>
      </c>
      <c r="AI279" s="20" t="s">
        <v>4841</v>
      </c>
      <c r="AJ279" s="117">
        <v>850000</v>
      </c>
      <c r="AK279" s="20">
        <v>0</v>
      </c>
      <c r="AL279" s="99">
        <f t="shared" si="70"/>
        <v>217</v>
      </c>
      <c r="AM279" s="20">
        <f t="shared" si="74"/>
        <v>184450000</v>
      </c>
      <c r="AN279" s="99"/>
    </row>
    <row r="280" spans="17:40">
      <c r="Q280" s="99" t="s">
        <v>4729</v>
      </c>
      <c r="R280" s="95">
        <v>41248054</v>
      </c>
      <c r="S280" t="s">
        <v>25</v>
      </c>
      <c r="T280" s="213" t="s">
        <v>4882</v>
      </c>
      <c r="U280" s="213">
        <v>776</v>
      </c>
      <c r="V280" s="113">
        <v>322.214</v>
      </c>
      <c r="W280" s="113">
        <f t="shared" si="66"/>
        <v>250038.06400000001</v>
      </c>
      <c r="X280" s="99" t="s">
        <v>452</v>
      </c>
      <c r="AH280" s="195">
        <v>47</v>
      </c>
      <c r="AI280" s="195" t="s">
        <v>4841</v>
      </c>
      <c r="AJ280" s="196">
        <v>20000</v>
      </c>
      <c r="AK280" s="195">
        <v>4</v>
      </c>
      <c r="AL280" s="195">
        <f t="shared" ref="AL280:AL288" si="75">AK280+AL281</f>
        <v>217</v>
      </c>
      <c r="AM280" s="195">
        <f t="shared" ref="AM280:AM288" si="76">AJ280*AL280</f>
        <v>4340000</v>
      </c>
      <c r="AN280" s="195"/>
    </row>
    <row r="281" spans="17:40">
      <c r="Q281" s="99" t="s">
        <v>4737</v>
      </c>
      <c r="R281" s="95">
        <v>37328780</v>
      </c>
      <c r="T281" s="213" t="s">
        <v>4963</v>
      </c>
      <c r="U281" s="213">
        <v>1524</v>
      </c>
      <c r="V281" s="113">
        <v>314.95999999999998</v>
      </c>
      <c r="W281" s="113">
        <f t="shared" si="66"/>
        <v>479999.04</v>
      </c>
      <c r="X281" s="99" t="s">
        <v>1084</v>
      </c>
      <c r="AH281" s="195">
        <v>48</v>
      </c>
      <c r="AI281" s="195" t="s">
        <v>4854</v>
      </c>
      <c r="AJ281" s="196">
        <v>30000000</v>
      </c>
      <c r="AK281" s="195">
        <v>27</v>
      </c>
      <c r="AL281" s="195">
        <f t="shared" si="75"/>
        <v>213</v>
      </c>
      <c r="AM281" s="195">
        <f t="shared" si="76"/>
        <v>6390000000</v>
      </c>
      <c r="AN281" s="195" t="s">
        <v>4855</v>
      </c>
    </row>
    <row r="282" spans="17:40">
      <c r="Q282" s="99" t="s">
        <v>4825</v>
      </c>
      <c r="R282" s="95">
        <v>-2194100</v>
      </c>
      <c r="T282" s="213" t="s">
        <v>4972</v>
      </c>
      <c r="U282" s="213">
        <v>4435</v>
      </c>
      <c r="V282" s="113">
        <v>316.4375</v>
      </c>
      <c r="W282" s="113">
        <f t="shared" si="66"/>
        <v>1403400.3125</v>
      </c>
      <c r="X282" s="99" t="s">
        <v>452</v>
      </c>
      <c r="AH282" s="20">
        <v>49</v>
      </c>
      <c r="AI282" s="20" t="s">
        <v>4931</v>
      </c>
      <c r="AJ282" s="117">
        <v>1100000</v>
      </c>
      <c r="AK282" s="20">
        <v>1</v>
      </c>
      <c r="AL282" s="20">
        <f t="shared" si="75"/>
        <v>186</v>
      </c>
      <c r="AM282" s="20">
        <f t="shared" si="76"/>
        <v>204600000</v>
      </c>
      <c r="AN282" s="20"/>
    </row>
    <row r="283" spans="17:40">
      <c r="Q283" s="99" t="s">
        <v>4862</v>
      </c>
      <c r="R283" s="95">
        <v>20193916</v>
      </c>
      <c r="T283" s="213" t="s">
        <v>4977</v>
      </c>
      <c r="U283" s="213">
        <v>624</v>
      </c>
      <c r="V283" s="113">
        <v>320.5</v>
      </c>
      <c r="W283" s="113">
        <f t="shared" si="66"/>
        <v>199992</v>
      </c>
      <c r="X283" s="99" t="s">
        <v>452</v>
      </c>
      <c r="AH283" s="20">
        <v>50</v>
      </c>
      <c r="AI283" s="20" t="s">
        <v>4933</v>
      </c>
      <c r="AJ283" s="117">
        <v>450000</v>
      </c>
      <c r="AK283" s="20">
        <v>0</v>
      </c>
      <c r="AL283" s="20">
        <f t="shared" si="75"/>
        <v>185</v>
      </c>
      <c r="AM283" s="20">
        <f t="shared" si="76"/>
        <v>83250000</v>
      </c>
      <c r="AN283" s="20"/>
    </row>
    <row r="284" spans="17:40">
      <c r="Q284" s="99" t="s">
        <v>4937</v>
      </c>
      <c r="R284" s="95">
        <v>-2000000</v>
      </c>
      <c r="T284" s="213" t="s">
        <v>4983</v>
      </c>
      <c r="U284" s="213">
        <v>1086</v>
      </c>
      <c r="V284" s="113">
        <v>317.55</v>
      </c>
      <c r="W284" s="113">
        <f t="shared" si="66"/>
        <v>344859.3</v>
      </c>
      <c r="X284" s="99" t="s">
        <v>452</v>
      </c>
      <c r="AH284" s="149">
        <v>51</v>
      </c>
      <c r="AI284" s="149" t="s">
        <v>4933</v>
      </c>
      <c r="AJ284" s="188">
        <v>550000</v>
      </c>
      <c r="AK284" s="149">
        <v>1</v>
      </c>
      <c r="AL284" s="149">
        <f t="shared" si="75"/>
        <v>185</v>
      </c>
      <c r="AM284" s="149">
        <f t="shared" si="76"/>
        <v>101750000</v>
      </c>
      <c r="AN284" s="149"/>
    </row>
    <row r="285" spans="17:40">
      <c r="Q285" s="99" t="s">
        <v>5016</v>
      </c>
      <c r="R285" s="95">
        <v>6800000</v>
      </c>
      <c r="S285" t="s">
        <v>25</v>
      </c>
      <c r="T285" s="213" t="s">
        <v>4988</v>
      </c>
      <c r="U285" s="213">
        <v>2820</v>
      </c>
      <c r="V285" s="113">
        <v>319.1096</v>
      </c>
      <c r="W285" s="113">
        <f t="shared" si="66"/>
        <v>899889.07200000004</v>
      </c>
      <c r="X285" s="99" t="s">
        <v>452</v>
      </c>
      <c r="AH285" s="149">
        <v>52</v>
      </c>
      <c r="AI285" s="149" t="s">
        <v>4935</v>
      </c>
      <c r="AJ285" s="188">
        <v>1000000</v>
      </c>
      <c r="AK285" s="149">
        <v>8</v>
      </c>
      <c r="AL285" s="149">
        <f t="shared" si="75"/>
        <v>184</v>
      </c>
      <c r="AM285" s="149">
        <f t="shared" si="76"/>
        <v>184000000</v>
      </c>
      <c r="AN285" s="149"/>
    </row>
    <row r="286" spans="17:40">
      <c r="Q286" s="99" t="s">
        <v>5030</v>
      </c>
      <c r="R286" s="95">
        <v>850000</v>
      </c>
      <c r="T286" s="213" t="s">
        <v>4992</v>
      </c>
      <c r="U286" s="213">
        <v>1145</v>
      </c>
      <c r="V286" s="113">
        <v>325.44</v>
      </c>
      <c r="W286" s="113">
        <f t="shared" si="66"/>
        <v>372628.8</v>
      </c>
      <c r="X286" s="99" t="s">
        <v>452</v>
      </c>
      <c r="AH286" s="20">
        <v>53</v>
      </c>
      <c r="AI286" s="20" t="s">
        <v>4945</v>
      </c>
      <c r="AJ286" s="117">
        <v>-2668880</v>
      </c>
      <c r="AK286" s="20">
        <v>0</v>
      </c>
      <c r="AL286" s="20">
        <f t="shared" si="75"/>
        <v>176</v>
      </c>
      <c r="AM286" s="20">
        <f t="shared" si="76"/>
        <v>-469722880</v>
      </c>
      <c r="AN286" s="20" t="s">
        <v>4947</v>
      </c>
    </row>
    <row r="287" spans="17:40">
      <c r="Q287" s="99" t="s">
        <v>5040</v>
      </c>
      <c r="R287" s="95">
        <v>2290500</v>
      </c>
      <c r="T287" s="213" t="s">
        <v>5003</v>
      </c>
      <c r="U287" s="213">
        <v>20153</v>
      </c>
      <c r="V287" s="113">
        <v>322</v>
      </c>
      <c r="W287" s="113">
        <f t="shared" si="66"/>
        <v>6489266</v>
      </c>
      <c r="X287" s="99" t="s">
        <v>452</v>
      </c>
      <c r="AH287" s="149">
        <v>54</v>
      </c>
      <c r="AI287" s="149" t="s">
        <v>4945</v>
      </c>
      <c r="AJ287" s="188">
        <v>-1528620</v>
      </c>
      <c r="AK287" s="149">
        <v>0</v>
      </c>
      <c r="AL287" s="149">
        <f t="shared" si="75"/>
        <v>176</v>
      </c>
      <c r="AM287" s="149">
        <f t="shared" si="76"/>
        <v>-269037120</v>
      </c>
      <c r="AN287" s="149" t="s">
        <v>4947</v>
      </c>
    </row>
    <row r="288" spans="17:40">
      <c r="Q288" s="99" t="s">
        <v>5056</v>
      </c>
      <c r="R288" s="95">
        <v>400000</v>
      </c>
      <c r="S288" t="s">
        <v>25</v>
      </c>
      <c r="T288" s="213" t="s">
        <v>5016</v>
      </c>
      <c r="U288" s="213">
        <v>93720</v>
      </c>
      <c r="V288" s="113">
        <v>325.435</v>
      </c>
      <c r="W288" s="113">
        <f t="shared" si="66"/>
        <v>30499768.199999999</v>
      </c>
      <c r="X288" s="99" t="s">
        <v>1084</v>
      </c>
      <c r="AH288" s="20">
        <v>55</v>
      </c>
      <c r="AI288" s="20" t="s">
        <v>4945</v>
      </c>
      <c r="AJ288" s="117">
        <v>50000000</v>
      </c>
      <c r="AK288" s="20">
        <v>4</v>
      </c>
      <c r="AL288" s="20">
        <f t="shared" si="75"/>
        <v>176</v>
      </c>
      <c r="AM288" s="20">
        <f t="shared" si="76"/>
        <v>8800000000</v>
      </c>
      <c r="AN288" s="20"/>
    </row>
    <row r="289" spans="16:44">
      <c r="Q289" s="99" t="s">
        <v>5063</v>
      </c>
      <c r="R289" s="95">
        <v>150000</v>
      </c>
      <c r="T289" s="213" t="s">
        <v>5016</v>
      </c>
      <c r="U289" s="213">
        <v>20895</v>
      </c>
      <c r="V289" s="113">
        <v>325.435</v>
      </c>
      <c r="W289" s="113">
        <f t="shared" si="66"/>
        <v>6799964.3250000002</v>
      </c>
      <c r="X289" s="99" t="s">
        <v>750</v>
      </c>
      <c r="AH289" s="20">
        <v>56</v>
      </c>
      <c r="AI289" s="20" t="s">
        <v>4951</v>
      </c>
      <c r="AJ289" s="117">
        <v>400000</v>
      </c>
      <c r="AK289" s="20">
        <v>4</v>
      </c>
      <c r="AL289" s="20">
        <f t="shared" ref="AL289:AL298" si="77">AK289+AL290</f>
        <v>172</v>
      </c>
      <c r="AM289" s="20">
        <f t="shared" ref="AM289:AM298" si="78">AJ289*AL289</f>
        <v>68800000</v>
      </c>
      <c r="AN289" s="20"/>
    </row>
    <row r="290" spans="16:44">
      <c r="Q290" s="99" t="s">
        <v>5099</v>
      </c>
      <c r="R290" s="95">
        <v>-144950</v>
      </c>
      <c r="T290" s="213" t="s">
        <v>5030</v>
      </c>
      <c r="U290" s="213">
        <v>2611</v>
      </c>
      <c r="V290" s="113">
        <v>325.435</v>
      </c>
      <c r="W290" s="113">
        <f t="shared" si="66"/>
        <v>849710.78500000003</v>
      </c>
      <c r="X290" s="99" t="s">
        <v>750</v>
      </c>
      <c r="AH290" s="20">
        <v>57</v>
      </c>
      <c r="AI290" s="20" t="s">
        <v>4963</v>
      </c>
      <c r="AJ290" s="117">
        <v>2000000</v>
      </c>
      <c r="AK290" s="20">
        <v>3</v>
      </c>
      <c r="AL290" s="20">
        <f t="shared" si="77"/>
        <v>168</v>
      </c>
      <c r="AM290" s="20">
        <f t="shared" si="78"/>
        <v>336000000</v>
      </c>
      <c r="AN290" s="20"/>
    </row>
    <row r="291" spans="16:44">
      <c r="Q291" s="99" t="s">
        <v>5135</v>
      </c>
      <c r="R291" s="95">
        <v>320000</v>
      </c>
      <c r="T291" s="213" t="s">
        <v>5040</v>
      </c>
      <c r="U291" s="213">
        <v>6750</v>
      </c>
      <c r="V291" s="113">
        <v>339.3</v>
      </c>
      <c r="W291" s="113">
        <f t="shared" si="66"/>
        <v>2290275</v>
      </c>
      <c r="X291" s="99" t="s">
        <v>750</v>
      </c>
      <c r="AH291" s="20">
        <v>58</v>
      </c>
      <c r="AI291" s="20" t="s">
        <v>4966</v>
      </c>
      <c r="AJ291" s="117">
        <v>100000</v>
      </c>
      <c r="AK291" s="20">
        <v>4</v>
      </c>
      <c r="AL291" s="20">
        <f t="shared" si="77"/>
        <v>165</v>
      </c>
      <c r="AM291" s="20">
        <f t="shared" si="78"/>
        <v>16500000</v>
      </c>
      <c r="AN291" s="20" t="s">
        <v>3888</v>
      </c>
    </row>
    <row r="292" spans="16:44">
      <c r="Q292" s="99" t="s">
        <v>5140</v>
      </c>
      <c r="R292" s="95">
        <v>500000</v>
      </c>
      <c r="S292" t="s">
        <v>25</v>
      </c>
      <c r="T292" s="213" t="s">
        <v>5056</v>
      </c>
      <c r="U292" s="213">
        <v>1850</v>
      </c>
      <c r="V292" s="113">
        <v>334.10050000000001</v>
      </c>
      <c r="W292" s="113">
        <f t="shared" si="66"/>
        <v>618085.92500000005</v>
      </c>
      <c r="X292" s="99" t="s">
        <v>452</v>
      </c>
      <c r="AH292" s="20">
        <v>59</v>
      </c>
      <c r="AI292" s="20" t="s">
        <v>4977</v>
      </c>
      <c r="AJ292" s="117">
        <v>100000</v>
      </c>
      <c r="AK292" s="20">
        <v>7</v>
      </c>
      <c r="AL292" s="20">
        <f t="shared" si="77"/>
        <v>161</v>
      </c>
      <c r="AM292" s="20">
        <f t="shared" si="78"/>
        <v>16100000</v>
      </c>
      <c r="AN292" s="20"/>
    </row>
    <row r="293" spans="16:44">
      <c r="Q293" s="99" t="s">
        <v>5195</v>
      </c>
      <c r="R293" s="95">
        <v>400000</v>
      </c>
      <c r="S293" t="s">
        <v>25</v>
      </c>
      <c r="T293" s="213" t="s">
        <v>5056</v>
      </c>
      <c r="U293" s="213">
        <v>-1194</v>
      </c>
      <c r="V293" s="113">
        <v>335</v>
      </c>
      <c r="W293" s="113">
        <f t="shared" si="66"/>
        <v>-399990</v>
      </c>
      <c r="X293" s="99" t="s">
        <v>4436</v>
      </c>
      <c r="AH293" s="20">
        <v>60</v>
      </c>
      <c r="AI293" s="20" t="s">
        <v>4992</v>
      </c>
      <c r="AJ293" s="117">
        <v>50000</v>
      </c>
      <c r="AK293" s="20">
        <v>0</v>
      </c>
      <c r="AL293" s="20">
        <f t="shared" si="77"/>
        <v>154</v>
      </c>
      <c r="AM293" s="20">
        <f t="shared" si="78"/>
        <v>7700000</v>
      </c>
      <c r="AN293" s="20"/>
    </row>
    <row r="294" spans="16:44">
      <c r="Q294" s="99" t="s">
        <v>5200</v>
      </c>
      <c r="R294" s="95">
        <v>50000</v>
      </c>
      <c r="S294" t="s">
        <v>25</v>
      </c>
      <c r="T294" s="213" t="s">
        <v>5056</v>
      </c>
      <c r="U294" s="213">
        <v>1194</v>
      </c>
      <c r="V294" s="113">
        <v>335</v>
      </c>
      <c r="W294" s="113">
        <f t="shared" si="66"/>
        <v>399990</v>
      </c>
      <c r="X294" s="99" t="s">
        <v>750</v>
      </c>
      <c r="AH294" s="149">
        <v>61</v>
      </c>
      <c r="AI294" s="149" t="s">
        <v>4992</v>
      </c>
      <c r="AJ294" s="188">
        <v>50000</v>
      </c>
      <c r="AK294" s="149">
        <v>3</v>
      </c>
      <c r="AL294" s="149">
        <f t="shared" si="77"/>
        <v>154</v>
      </c>
      <c r="AM294" s="149">
        <f t="shared" si="78"/>
        <v>7700000</v>
      </c>
      <c r="AN294" s="149"/>
    </row>
    <row r="295" spans="16:44">
      <c r="Q295" s="99" t="s">
        <v>5211</v>
      </c>
      <c r="R295" s="95">
        <v>300000</v>
      </c>
      <c r="T295" s="213" t="s">
        <v>5063</v>
      </c>
      <c r="U295" s="213">
        <v>433</v>
      </c>
      <c r="V295" s="113">
        <v>345.68</v>
      </c>
      <c r="W295" s="113">
        <f t="shared" si="66"/>
        <v>149679.44</v>
      </c>
      <c r="X295" s="99" t="s">
        <v>750</v>
      </c>
      <c r="AH295" s="20">
        <v>62</v>
      </c>
      <c r="AI295" s="20" t="s">
        <v>4997</v>
      </c>
      <c r="AJ295" s="117">
        <v>50000</v>
      </c>
      <c r="AK295" s="20">
        <v>0</v>
      </c>
      <c r="AL295" s="20">
        <f t="shared" si="77"/>
        <v>151</v>
      </c>
      <c r="AM295" s="20">
        <f t="shared" si="78"/>
        <v>7550000</v>
      </c>
      <c r="AN295" s="20"/>
    </row>
    <row r="296" spans="16:44">
      <c r="Q296" s="99" t="s">
        <v>5247</v>
      </c>
      <c r="R296" s="95">
        <v>250000</v>
      </c>
      <c r="T296" s="213" t="s">
        <v>5070</v>
      </c>
      <c r="U296" s="213">
        <v>55459</v>
      </c>
      <c r="V296" s="113">
        <v>362.51978000000003</v>
      </c>
      <c r="W296" s="113">
        <f t="shared" si="66"/>
        <v>20104984.479020003</v>
      </c>
      <c r="X296" s="99" t="s">
        <v>452</v>
      </c>
      <c r="AH296" s="195">
        <v>63</v>
      </c>
      <c r="AI296" s="195" t="s">
        <v>4997</v>
      </c>
      <c r="AJ296" s="196">
        <v>50000</v>
      </c>
      <c r="AK296" s="195">
        <v>2</v>
      </c>
      <c r="AL296" s="195">
        <f t="shared" si="77"/>
        <v>151</v>
      </c>
      <c r="AM296" s="195">
        <f t="shared" si="78"/>
        <v>7550000</v>
      </c>
      <c r="AN296" s="195"/>
    </row>
    <row r="297" spans="16:44">
      <c r="Q297" s="99" t="s">
        <v>5291</v>
      </c>
      <c r="R297" s="95">
        <v>200000</v>
      </c>
      <c r="T297" s="213" t="s">
        <v>5075</v>
      </c>
      <c r="U297" s="213">
        <v>-57212</v>
      </c>
      <c r="V297" s="113">
        <v>368.45400000000001</v>
      </c>
      <c r="W297" s="113">
        <f t="shared" si="66"/>
        <v>-21079990.248</v>
      </c>
      <c r="X297" s="99" t="s">
        <v>452</v>
      </c>
      <c r="AH297" s="20">
        <v>64</v>
      </c>
      <c r="AI297" s="20" t="s">
        <v>5006</v>
      </c>
      <c r="AJ297" s="117">
        <v>25000</v>
      </c>
      <c r="AK297" s="20">
        <v>0</v>
      </c>
      <c r="AL297" s="20">
        <f t="shared" si="77"/>
        <v>149</v>
      </c>
      <c r="AM297" s="20">
        <f t="shared" si="78"/>
        <v>3725000</v>
      </c>
      <c r="AN297" s="20"/>
    </row>
    <row r="298" spans="16:44">
      <c r="Q298" s="99" t="s">
        <v>5352</v>
      </c>
      <c r="R298" s="95">
        <v>122000</v>
      </c>
      <c r="T298" s="213" t="s">
        <v>5076</v>
      </c>
      <c r="U298" s="213">
        <v>-15881</v>
      </c>
      <c r="V298" s="113">
        <v>374.61599999999999</v>
      </c>
      <c r="W298" s="113">
        <f t="shared" si="66"/>
        <v>-5949276.6959999995</v>
      </c>
      <c r="X298" s="99" t="s">
        <v>452</v>
      </c>
      <c r="AH298" s="149">
        <v>65</v>
      </c>
      <c r="AI298" s="149" t="s">
        <v>5006</v>
      </c>
      <c r="AJ298" s="188">
        <v>35000</v>
      </c>
      <c r="AK298" s="149">
        <v>7</v>
      </c>
      <c r="AL298" s="149">
        <f t="shared" si="77"/>
        <v>149</v>
      </c>
      <c r="AM298" s="149">
        <f t="shared" si="78"/>
        <v>5215000</v>
      </c>
      <c r="AN298" s="149"/>
    </row>
    <row r="299" spans="16:44">
      <c r="P299" t="s">
        <v>25</v>
      </c>
      <c r="Q299" s="99" t="s">
        <v>5369</v>
      </c>
      <c r="R299" s="95">
        <v>200000</v>
      </c>
      <c r="S299" t="s">
        <v>25</v>
      </c>
      <c r="T299" s="213" t="s">
        <v>5083</v>
      </c>
      <c r="U299" s="213">
        <v>-41289</v>
      </c>
      <c r="V299" s="113">
        <v>372.27</v>
      </c>
      <c r="W299" s="113">
        <f t="shared" si="66"/>
        <v>-15370656.029999999</v>
      </c>
      <c r="X299" s="99" t="s">
        <v>452</v>
      </c>
      <c r="AH299" s="149">
        <v>66</v>
      </c>
      <c r="AI299" s="149" t="s">
        <v>5016</v>
      </c>
      <c r="AJ299" s="188">
        <v>30000000</v>
      </c>
      <c r="AK299" s="149">
        <v>0</v>
      </c>
      <c r="AL299" s="149">
        <f t="shared" ref="AL299:AL318" si="79">AK299+AL300</f>
        <v>142</v>
      </c>
      <c r="AM299" s="149">
        <f t="shared" ref="AM299:AM318" si="80">AJ299*AL299</f>
        <v>4260000000</v>
      </c>
      <c r="AN299" s="149"/>
    </row>
    <row r="300" spans="16:44">
      <c r="Q300" s="99"/>
      <c r="R300" s="95"/>
      <c r="T300" s="213" t="s">
        <v>5090</v>
      </c>
      <c r="U300" s="213">
        <v>13563</v>
      </c>
      <c r="V300" s="113">
        <v>365.69799999999998</v>
      </c>
      <c r="W300" s="113">
        <f t="shared" si="66"/>
        <v>4959961.9739999995</v>
      </c>
      <c r="X300" s="99" t="s">
        <v>452</v>
      </c>
      <c r="AH300" s="20">
        <v>67</v>
      </c>
      <c r="AI300" s="20" t="s">
        <v>5016</v>
      </c>
      <c r="AJ300" s="117">
        <v>6800000</v>
      </c>
      <c r="AK300" s="20">
        <v>1</v>
      </c>
      <c r="AL300" s="20">
        <f t="shared" si="79"/>
        <v>142</v>
      </c>
      <c r="AM300" s="20">
        <f t="shared" si="80"/>
        <v>965600000</v>
      </c>
      <c r="AN300" s="20"/>
      <c r="AR300" t="s">
        <v>25</v>
      </c>
    </row>
    <row r="301" spans="16:44">
      <c r="Q301" s="99"/>
      <c r="R301" s="95">
        <f>SUM(R262:R300)</f>
        <v>436923825</v>
      </c>
      <c r="S301" t="s">
        <v>25</v>
      </c>
      <c r="T301" s="213" t="s">
        <v>5090</v>
      </c>
      <c r="U301" s="213">
        <v>27344</v>
      </c>
      <c r="V301" s="113">
        <v>365.69799999999998</v>
      </c>
      <c r="W301" s="113">
        <f t="shared" si="66"/>
        <v>9999646.1119999997</v>
      </c>
      <c r="X301" s="99" t="s">
        <v>452</v>
      </c>
      <c r="AH301" s="20">
        <v>68</v>
      </c>
      <c r="AI301" s="20" t="s">
        <v>5022</v>
      </c>
      <c r="AJ301" s="117">
        <v>500000</v>
      </c>
      <c r="AK301" s="20">
        <v>1</v>
      </c>
      <c r="AL301" s="20">
        <f t="shared" si="79"/>
        <v>141</v>
      </c>
      <c r="AM301" s="20">
        <f t="shared" si="80"/>
        <v>70500000</v>
      </c>
      <c r="AN301" s="20"/>
    </row>
    <row r="302" spans="16:44" ht="30">
      <c r="Q302" s="99"/>
      <c r="R302" s="99" t="s">
        <v>6</v>
      </c>
      <c r="T302" s="213" t="s">
        <v>5099</v>
      </c>
      <c r="U302" s="213">
        <v>-103145</v>
      </c>
      <c r="V302" s="113">
        <v>393.334</v>
      </c>
      <c r="W302" s="113">
        <f t="shared" si="66"/>
        <v>-40570435.43</v>
      </c>
      <c r="X302" s="36" t="s">
        <v>5111</v>
      </c>
      <c r="Y302" t="s">
        <v>25</v>
      </c>
      <c r="AH302" s="20">
        <v>69</v>
      </c>
      <c r="AI302" s="20" t="s">
        <v>5030</v>
      </c>
      <c r="AJ302" s="117">
        <v>850000</v>
      </c>
      <c r="AK302" s="20">
        <v>5</v>
      </c>
      <c r="AL302" s="20">
        <f t="shared" si="79"/>
        <v>140</v>
      </c>
      <c r="AM302" s="20">
        <f t="shared" si="80"/>
        <v>119000000</v>
      </c>
      <c r="AN302" s="20"/>
    </row>
    <row r="303" spans="16:44">
      <c r="R303" t="s">
        <v>25</v>
      </c>
      <c r="T303" s="213" t="s">
        <v>5099</v>
      </c>
      <c r="U303" s="213">
        <v>-369</v>
      </c>
      <c r="V303" s="113">
        <v>393.334</v>
      </c>
      <c r="W303" s="113">
        <f t="shared" si="66"/>
        <v>-145140.24600000001</v>
      </c>
      <c r="X303" s="36" t="s">
        <v>5202</v>
      </c>
      <c r="Y303" t="s">
        <v>25</v>
      </c>
      <c r="AH303" s="20">
        <v>70</v>
      </c>
      <c r="AI303" s="20" t="s">
        <v>5040</v>
      </c>
      <c r="AJ303" s="117">
        <v>1130250</v>
      </c>
      <c r="AK303" s="20">
        <v>0</v>
      </c>
      <c r="AL303" s="20">
        <f t="shared" si="79"/>
        <v>135</v>
      </c>
      <c r="AM303" s="20">
        <f t="shared" si="80"/>
        <v>152583750</v>
      </c>
      <c r="AN303" s="20"/>
    </row>
    <row r="304" spans="16:44">
      <c r="T304" s="213" t="s">
        <v>5099</v>
      </c>
      <c r="U304" s="213">
        <v>-889</v>
      </c>
      <c r="V304" s="113">
        <v>393.334</v>
      </c>
      <c r="W304" s="113">
        <f t="shared" si="66"/>
        <v>-349673.92599999998</v>
      </c>
      <c r="X304" s="36" t="s">
        <v>5203</v>
      </c>
      <c r="AH304" s="260">
        <v>71</v>
      </c>
      <c r="AI304" s="260" t="s">
        <v>5040</v>
      </c>
      <c r="AJ304" s="251">
        <v>30000</v>
      </c>
      <c r="AK304" s="260">
        <v>5</v>
      </c>
      <c r="AL304" s="260">
        <f t="shared" si="79"/>
        <v>135</v>
      </c>
      <c r="AM304" s="260">
        <f t="shared" si="80"/>
        <v>4050000</v>
      </c>
      <c r="AN304" s="260"/>
    </row>
    <row r="305" spans="17:40">
      <c r="Q305" s="99" t="s">
        <v>452</v>
      </c>
      <c r="R305" s="99"/>
      <c r="T305" s="213" t="s">
        <v>5115</v>
      </c>
      <c r="U305" s="213">
        <v>2546</v>
      </c>
      <c r="V305" s="113">
        <v>393</v>
      </c>
      <c r="W305" s="113">
        <f t="shared" si="66"/>
        <v>1000578</v>
      </c>
      <c r="X305" s="36" t="s">
        <v>452</v>
      </c>
      <c r="AH305" s="20">
        <v>72</v>
      </c>
      <c r="AI305" s="20" t="s">
        <v>5056</v>
      </c>
      <c r="AJ305" s="117">
        <v>206000</v>
      </c>
      <c r="AK305" s="20">
        <v>0</v>
      </c>
      <c r="AL305" s="20">
        <f t="shared" si="79"/>
        <v>130</v>
      </c>
      <c r="AM305" s="20">
        <f t="shared" si="80"/>
        <v>26780000</v>
      </c>
      <c r="AN305" s="20"/>
    </row>
    <row r="306" spans="17:40">
      <c r="Q306" s="99" t="s">
        <v>4429</v>
      </c>
      <c r="R306" s="95">
        <v>63115000</v>
      </c>
      <c r="S306" t="s">
        <v>25</v>
      </c>
      <c r="T306" s="213" t="s">
        <v>5116</v>
      </c>
      <c r="U306" s="213">
        <v>1034</v>
      </c>
      <c r="V306" s="113">
        <v>386.608</v>
      </c>
      <c r="W306" s="113">
        <f t="shared" si="66"/>
        <v>399752.67200000002</v>
      </c>
      <c r="X306" s="36" t="s">
        <v>452</v>
      </c>
      <c r="AH306" s="149">
        <v>73</v>
      </c>
      <c r="AI306" s="149" t="s">
        <v>5056</v>
      </c>
      <c r="AJ306" s="188">
        <v>206000</v>
      </c>
      <c r="AK306" s="149">
        <v>2</v>
      </c>
      <c r="AL306" s="149">
        <f t="shared" si="79"/>
        <v>130</v>
      </c>
      <c r="AM306" s="149">
        <f t="shared" si="80"/>
        <v>26780000</v>
      </c>
      <c r="AN306" s="149"/>
    </row>
    <row r="307" spans="17:40">
      <c r="Q307" s="99" t="s">
        <v>4482</v>
      </c>
      <c r="R307" s="95">
        <v>13300000</v>
      </c>
      <c r="T307" s="213" t="s">
        <v>5123</v>
      </c>
      <c r="U307" s="213">
        <v>300</v>
      </c>
      <c r="V307" s="113">
        <v>400</v>
      </c>
      <c r="W307" s="113">
        <f t="shared" si="66"/>
        <v>120000</v>
      </c>
      <c r="X307" s="36" t="s">
        <v>452</v>
      </c>
      <c r="AH307" s="20">
        <v>74</v>
      </c>
      <c r="AI307" s="20" t="s">
        <v>5063</v>
      </c>
      <c r="AJ307" s="117">
        <v>50000</v>
      </c>
      <c r="AK307" s="20">
        <v>0</v>
      </c>
      <c r="AL307" s="20">
        <f t="shared" si="79"/>
        <v>128</v>
      </c>
      <c r="AM307" s="20">
        <f t="shared" si="80"/>
        <v>6400000</v>
      </c>
      <c r="AN307" s="20"/>
    </row>
    <row r="308" spans="17:40">
      <c r="Q308" s="99" t="s">
        <v>4490</v>
      </c>
      <c r="R308" s="95">
        <v>2269000</v>
      </c>
      <c r="T308" s="213" t="s">
        <v>5135</v>
      </c>
      <c r="U308" s="213">
        <v>782</v>
      </c>
      <c r="V308" s="113">
        <v>409</v>
      </c>
      <c r="W308" s="113">
        <f t="shared" si="66"/>
        <v>319838</v>
      </c>
      <c r="X308" s="36" t="s">
        <v>750</v>
      </c>
      <c r="AH308" s="260">
        <v>75</v>
      </c>
      <c r="AI308" s="260" t="s">
        <v>5063</v>
      </c>
      <c r="AJ308" s="251">
        <v>50000</v>
      </c>
      <c r="AK308" s="260">
        <v>2</v>
      </c>
      <c r="AL308" s="260">
        <f t="shared" si="79"/>
        <v>128</v>
      </c>
      <c r="AM308" s="260">
        <f t="shared" si="80"/>
        <v>6400000</v>
      </c>
      <c r="AN308" s="260"/>
    </row>
    <row r="309" spans="17:40">
      <c r="Q309" s="99" t="s">
        <v>4605</v>
      </c>
      <c r="R309" s="95">
        <v>25071612</v>
      </c>
      <c r="T309" s="213" t="s">
        <v>5140</v>
      </c>
      <c r="U309" s="213">
        <v>1220</v>
      </c>
      <c r="V309" s="113">
        <v>409.9</v>
      </c>
      <c r="W309" s="113">
        <f t="shared" si="66"/>
        <v>500078</v>
      </c>
      <c r="X309" s="36" t="s">
        <v>750</v>
      </c>
      <c r="AH309" s="20">
        <v>76</v>
      </c>
      <c r="AI309" s="20" t="s">
        <v>5070</v>
      </c>
      <c r="AJ309" s="117">
        <v>20000000</v>
      </c>
      <c r="AK309" s="20">
        <v>7</v>
      </c>
      <c r="AL309" s="20">
        <f t="shared" si="79"/>
        <v>126</v>
      </c>
      <c r="AM309" s="20">
        <f t="shared" si="80"/>
        <v>2520000000</v>
      </c>
      <c r="AN309" s="20" t="s">
        <v>5071</v>
      </c>
    </row>
    <row r="310" spans="17:40">
      <c r="Q310" s="99" t="s">
        <v>4614</v>
      </c>
      <c r="R310" s="95">
        <v>42236984</v>
      </c>
      <c r="T310" s="213" t="s">
        <v>5143</v>
      </c>
      <c r="U310" s="213">
        <v>1285</v>
      </c>
      <c r="V310" s="113">
        <v>388.84</v>
      </c>
      <c r="W310" s="113">
        <f t="shared" si="66"/>
        <v>499659.39999999997</v>
      </c>
      <c r="X310" s="36" t="s">
        <v>452</v>
      </c>
      <c r="AH310" s="20">
        <v>77</v>
      </c>
      <c r="AI310" s="20" t="s">
        <v>5083</v>
      </c>
      <c r="AJ310" s="117">
        <v>50000</v>
      </c>
      <c r="AK310" s="20">
        <v>0</v>
      </c>
      <c r="AL310" s="20">
        <f t="shared" si="79"/>
        <v>119</v>
      </c>
      <c r="AM310" s="20">
        <f t="shared" si="80"/>
        <v>5950000</v>
      </c>
      <c r="AN310" s="20"/>
    </row>
    <row r="311" spans="17:40">
      <c r="Q311" s="99" t="s">
        <v>4615</v>
      </c>
      <c r="R311" s="95">
        <v>19663646</v>
      </c>
      <c r="T311" s="213" t="s">
        <v>5128</v>
      </c>
      <c r="U311" s="213">
        <v>1924</v>
      </c>
      <c r="V311" s="113">
        <v>386.69600000000003</v>
      </c>
      <c r="W311" s="113">
        <f t="shared" si="66"/>
        <v>744003.10400000005</v>
      </c>
      <c r="X311" s="36" t="s">
        <v>452</v>
      </c>
      <c r="AH311" s="149">
        <v>78</v>
      </c>
      <c r="AI311" s="149" t="s">
        <v>5083</v>
      </c>
      <c r="AJ311" s="188">
        <v>50000</v>
      </c>
      <c r="AK311" s="149">
        <v>7</v>
      </c>
      <c r="AL311" s="149">
        <f t="shared" si="79"/>
        <v>119</v>
      </c>
      <c r="AM311" s="149">
        <f t="shared" si="80"/>
        <v>5950000</v>
      </c>
      <c r="AN311" s="149"/>
    </row>
    <row r="312" spans="17:40">
      <c r="Q312" s="99" t="s">
        <v>4639</v>
      </c>
      <c r="R312" s="95">
        <v>4374525</v>
      </c>
      <c r="T312" s="213" t="s">
        <v>5159</v>
      </c>
      <c r="U312" s="213">
        <v>165</v>
      </c>
      <c r="V312" s="113">
        <v>393.5</v>
      </c>
      <c r="W312" s="113">
        <f t="shared" si="66"/>
        <v>64927.5</v>
      </c>
      <c r="X312" s="36" t="s">
        <v>452</v>
      </c>
      <c r="AH312" s="20">
        <v>79</v>
      </c>
      <c r="AI312" s="20" t="s">
        <v>5090</v>
      </c>
      <c r="AJ312" s="117">
        <v>2480000</v>
      </c>
      <c r="AK312" s="20">
        <v>0</v>
      </c>
      <c r="AL312" s="20">
        <f t="shared" si="79"/>
        <v>112</v>
      </c>
      <c r="AM312" s="20">
        <f t="shared" si="80"/>
        <v>277760000</v>
      </c>
      <c r="AN312" s="20"/>
    </row>
    <row r="313" spans="17:40" ht="30">
      <c r="Q313" s="99" t="s">
        <v>4651</v>
      </c>
      <c r="R313" s="95">
        <v>6550580</v>
      </c>
      <c r="T313" s="213" t="s">
        <v>5167</v>
      </c>
      <c r="U313" s="213">
        <v>-34859</v>
      </c>
      <c r="V313" s="113">
        <v>403.1585</v>
      </c>
      <c r="W313" s="113">
        <f t="shared" si="66"/>
        <v>-14053702.1515</v>
      </c>
      <c r="X313" s="36" t="s">
        <v>5171</v>
      </c>
      <c r="AH313" s="149">
        <v>80</v>
      </c>
      <c r="AI313" s="149" t="s">
        <v>5090</v>
      </c>
      <c r="AJ313" s="188">
        <v>2480000</v>
      </c>
      <c r="AK313" s="149">
        <v>12</v>
      </c>
      <c r="AL313" s="149">
        <f t="shared" si="79"/>
        <v>112</v>
      </c>
      <c r="AM313" s="149">
        <f t="shared" si="80"/>
        <v>277760000</v>
      </c>
      <c r="AN313" s="149"/>
    </row>
    <row r="314" spans="17:40">
      <c r="Q314" s="99" t="s">
        <v>4653</v>
      </c>
      <c r="R314" s="95">
        <v>7054895</v>
      </c>
      <c r="T314" s="213" t="s">
        <v>5129</v>
      </c>
      <c r="U314" s="213">
        <v>8476</v>
      </c>
      <c r="V314" s="113">
        <v>419.49900000000002</v>
      </c>
      <c r="W314" s="113">
        <f t="shared" si="66"/>
        <v>3555673.5240000002</v>
      </c>
      <c r="X314" s="36" t="s">
        <v>5179</v>
      </c>
      <c r="AH314" s="20">
        <v>81</v>
      </c>
      <c r="AI314" s="20" t="s">
        <v>5099</v>
      </c>
      <c r="AJ314" s="117">
        <v>-24159500</v>
      </c>
      <c r="AK314" s="20">
        <v>4</v>
      </c>
      <c r="AL314" s="20">
        <f t="shared" si="79"/>
        <v>100</v>
      </c>
      <c r="AM314" s="20">
        <f t="shared" si="80"/>
        <v>-2415950000</v>
      </c>
      <c r="AN314" s="20" t="s">
        <v>5114</v>
      </c>
    </row>
    <row r="315" spans="17:40">
      <c r="Q315" s="99" t="s">
        <v>4676</v>
      </c>
      <c r="R315" s="95">
        <v>2145814</v>
      </c>
      <c r="T315" s="213" t="s">
        <v>5195</v>
      </c>
      <c r="U315" s="213">
        <v>903</v>
      </c>
      <c r="V315" s="113">
        <v>442.77379999999999</v>
      </c>
      <c r="W315" s="113">
        <f t="shared" si="66"/>
        <v>399824.7414</v>
      </c>
      <c r="X315" s="36" t="s">
        <v>750</v>
      </c>
      <c r="AH315" s="20">
        <v>82</v>
      </c>
      <c r="AI315" s="20" t="s">
        <v>5116</v>
      </c>
      <c r="AJ315" s="117">
        <v>400000</v>
      </c>
      <c r="AK315" s="20">
        <v>3</v>
      </c>
      <c r="AL315" s="20">
        <f t="shared" si="79"/>
        <v>96</v>
      </c>
      <c r="AM315" s="20">
        <f t="shared" si="80"/>
        <v>38400000</v>
      </c>
      <c r="AN315" s="20"/>
    </row>
    <row r="316" spans="17:40">
      <c r="Q316" s="99" t="s">
        <v>4687</v>
      </c>
      <c r="R316" s="95">
        <v>4369730</v>
      </c>
      <c r="T316" s="213" t="s">
        <v>5200</v>
      </c>
      <c r="U316" s="213">
        <v>113</v>
      </c>
      <c r="V316" s="113">
        <v>442.48200000000003</v>
      </c>
      <c r="W316" s="113">
        <f t="shared" ref="W316:W349" si="81">U316*V316</f>
        <v>50000.466</v>
      </c>
      <c r="X316" s="36" t="s">
        <v>750</v>
      </c>
      <c r="AH316" s="149">
        <v>83</v>
      </c>
      <c r="AI316" s="149" t="s">
        <v>5123</v>
      </c>
      <c r="AJ316" s="188">
        <v>40000</v>
      </c>
      <c r="AK316" s="149">
        <v>0</v>
      </c>
      <c r="AL316" s="149">
        <f t="shared" si="79"/>
        <v>93</v>
      </c>
      <c r="AM316" s="149">
        <f t="shared" si="80"/>
        <v>3720000</v>
      </c>
      <c r="AN316" s="149"/>
    </row>
    <row r="317" spans="17:40">
      <c r="Q317" s="99" t="s">
        <v>4689</v>
      </c>
      <c r="R317" s="95">
        <v>8739459</v>
      </c>
      <c r="T317" s="213" t="s">
        <v>5211</v>
      </c>
      <c r="U317" s="213">
        <v>671</v>
      </c>
      <c r="V317" s="113">
        <v>447</v>
      </c>
      <c r="W317" s="113">
        <f t="shared" si="81"/>
        <v>299937</v>
      </c>
      <c r="X317" s="36" t="s">
        <v>750</v>
      </c>
      <c r="AH317" s="20">
        <v>84</v>
      </c>
      <c r="AI317" s="20" t="s">
        <v>5123</v>
      </c>
      <c r="AJ317" s="117">
        <v>40000</v>
      </c>
      <c r="AK317" s="20">
        <v>5</v>
      </c>
      <c r="AL317" s="20">
        <f t="shared" si="79"/>
        <v>93</v>
      </c>
      <c r="AM317" s="20">
        <f t="shared" si="80"/>
        <v>3720000</v>
      </c>
      <c r="AN317" s="20"/>
    </row>
    <row r="318" spans="17:40">
      <c r="Q318" s="99" t="s">
        <v>4698</v>
      </c>
      <c r="R318" s="95">
        <v>6667654</v>
      </c>
      <c r="T318" s="213" t="s">
        <v>5213</v>
      </c>
      <c r="U318" s="213">
        <v>7</v>
      </c>
      <c r="V318" s="113">
        <v>465.31200000000001</v>
      </c>
      <c r="W318" s="113">
        <f t="shared" si="81"/>
        <v>3257.1840000000002</v>
      </c>
      <c r="X318" s="36" t="s">
        <v>452</v>
      </c>
      <c r="Y318" t="s">
        <v>25</v>
      </c>
      <c r="AH318" s="20">
        <v>85</v>
      </c>
      <c r="AI318" s="20" t="s">
        <v>5135</v>
      </c>
      <c r="AJ318" s="117">
        <v>200000</v>
      </c>
      <c r="AK318" s="20">
        <v>1</v>
      </c>
      <c r="AL318" s="20">
        <f t="shared" si="79"/>
        <v>88</v>
      </c>
      <c r="AM318" s="20">
        <f t="shared" si="80"/>
        <v>17600000</v>
      </c>
      <c r="AN318" s="20"/>
    </row>
    <row r="319" spans="17:40">
      <c r="Q319" s="99" t="s">
        <v>3681</v>
      </c>
      <c r="R319" s="95">
        <v>8981245</v>
      </c>
      <c r="T319" s="213" t="s">
        <v>5222</v>
      </c>
      <c r="U319" s="213">
        <v>12950</v>
      </c>
      <c r="V319" s="113">
        <v>463.31599999999997</v>
      </c>
      <c r="W319" s="113">
        <f t="shared" si="81"/>
        <v>5999942.1999999993</v>
      </c>
      <c r="X319" s="36" t="s">
        <v>452</v>
      </c>
      <c r="AH319" s="20">
        <v>86</v>
      </c>
      <c r="AI319" s="20" t="s">
        <v>5140</v>
      </c>
      <c r="AJ319" s="117">
        <v>500000</v>
      </c>
      <c r="AK319" s="20">
        <v>2</v>
      </c>
      <c r="AL319" s="20">
        <f t="shared" ref="AL319:AL363" si="82">AK319+AL320</f>
        <v>87</v>
      </c>
      <c r="AM319" s="20">
        <f t="shared" ref="AM319:AM363" si="83">AJ319*AL319</f>
        <v>43500000</v>
      </c>
      <c r="AN319" s="20"/>
    </row>
    <row r="320" spans="17:40">
      <c r="Q320" s="99" t="s">
        <v>4711</v>
      </c>
      <c r="R320" s="95">
        <v>9181756</v>
      </c>
      <c r="T320" s="213" t="s">
        <v>5228</v>
      </c>
      <c r="U320" s="213">
        <v>37</v>
      </c>
      <c r="V320" s="113">
        <v>463.315</v>
      </c>
      <c r="W320" s="113">
        <f t="shared" si="81"/>
        <v>17142.654999999999</v>
      </c>
      <c r="X320" s="36" t="s">
        <v>452</v>
      </c>
      <c r="AH320" s="20">
        <v>87</v>
      </c>
      <c r="AI320" s="20" t="s">
        <v>5143</v>
      </c>
      <c r="AJ320" s="117">
        <v>500000</v>
      </c>
      <c r="AK320" s="20">
        <v>3</v>
      </c>
      <c r="AL320" s="20">
        <f t="shared" si="82"/>
        <v>85</v>
      </c>
      <c r="AM320" s="20">
        <f t="shared" si="83"/>
        <v>42500000</v>
      </c>
      <c r="AN320" s="20"/>
    </row>
    <row r="321" spans="17:44">
      <c r="Q321" s="99" t="s">
        <v>4715</v>
      </c>
      <c r="R321" s="95">
        <v>11811208</v>
      </c>
      <c r="T321" s="213" t="s">
        <v>5229</v>
      </c>
      <c r="U321" s="213">
        <v>19</v>
      </c>
      <c r="V321" s="113">
        <v>434.3</v>
      </c>
      <c r="W321" s="113">
        <f t="shared" si="81"/>
        <v>8251.7000000000007</v>
      </c>
      <c r="X321" s="36" t="s">
        <v>452</v>
      </c>
      <c r="AH321" s="20">
        <v>88</v>
      </c>
      <c r="AI321" s="20" t="s">
        <v>5128</v>
      </c>
      <c r="AJ321" s="117">
        <v>250000</v>
      </c>
      <c r="AK321" s="20">
        <v>0</v>
      </c>
      <c r="AL321" s="20">
        <f t="shared" si="82"/>
        <v>82</v>
      </c>
      <c r="AM321" s="20">
        <f t="shared" si="83"/>
        <v>20500000</v>
      </c>
      <c r="AN321" s="20"/>
    </row>
    <row r="322" spans="17:44">
      <c r="Q322" s="99" t="s">
        <v>4729</v>
      </c>
      <c r="R322" s="95">
        <v>41248054</v>
      </c>
      <c r="T322" s="213" t="s">
        <v>5231</v>
      </c>
      <c r="U322" s="213">
        <v>16</v>
      </c>
      <c r="V322" s="113">
        <v>439</v>
      </c>
      <c r="W322" s="113">
        <f t="shared" si="81"/>
        <v>7024</v>
      </c>
      <c r="X322" s="36" t="s">
        <v>452</v>
      </c>
      <c r="AH322" s="260">
        <v>89</v>
      </c>
      <c r="AI322" s="260" t="s">
        <v>5128</v>
      </c>
      <c r="AJ322" s="251">
        <v>245000</v>
      </c>
      <c r="AK322" s="260">
        <v>16</v>
      </c>
      <c r="AL322" s="260">
        <f t="shared" si="82"/>
        <v>82</v>
      </c>
      <c r="AM322" s="260">
        <f t="shared" si="83"/>
        <v>20090000</v>
      </c>
      <c r="AN322" s="260"/>
    </row>
    <row r="323" spans="17:44" ht="45">
      <c r="Q323" s="99" t="s">
        <v>4737</v>
      </c>
      <c r="R323" s="95">
        <v>37328780</v>
      </c>
      <c r="T323" s="213" t="s">
        <v>5231</v>
      </c>
      <c r="U323" s="213">
        <v>9191</v>
      </c>
      <c r="V323" s="113">
        <v>440.24630000000002</v>
      </c>
      <c r="W323" s="113">
        <f t="shared" si="81"/>
        <v>4046303.7433000002</v>
      </c>
      <c r="X323" s="36" t="s">
        <v>5234</v>
      </c>
      <c r="AH323" s="20">
        <v>90</v>
      </c>
      <c r="AI323" s="20" t="s">
        <v>5172</v>
      </c>
      <c r="AJ323" s="117">
        <v>312598</v>
      </c>
      <c r="AK323" s="20">
        <v>0</v>
      </c>
      <c r="AL323" s="20">
        <f t="shared" si="82"/>
        <v>66</v>
      </c>
      <c r="AM323" s="20">
        <f t="shared" si="83"/>
        <v>20631468</v>
      </c>
      <c r="AN323" s="20"/>
    </row>
    <row r="324" spans="17:44">
      <c r="Q324" s="99" t="s">
        <v>4744</v>
      </c>
      <c r="R324" s="95">
        <v>50000000</v>
      </c>
      <c r="T324" s="213" t="s">
        <v>5236</v>
      </c>
      <c r="U324" s="213">
        <v>-8792</v>
      </c>
      <c r="V324" s="113">
        <v>441.90665999999999</v>
      </c>
      <c r="W324" s="113">
        <f t="shared" si="81"/>
        <v>-3885243.3547199997</v>
      </c>
      <c r="X324" s="36" t="s">
        <v>5237</v>
      </c>
      <c r="Y324" t="s">
        <v>25</v>
      </c>
      <c r="AH324" s="20">
        <v>91</v>
      </c>
      <c r="AI324" s="20" t="s">
        <v>5172</v>
      </c>
      <c r="AJ324" s="117">
        <v>780000</v>
      </c>
      <c r="AK324" s="20">
        <v>0</v>
      </c>
      <c r="AL324" s="20">
        <f t="shared" si="82"/>
        <v>66</v>
      </c>
      <c r="AM324" s="20">
        <f t="shared" si="83"/>
        <v>51480000</v>
      </c>
      <c r="AN324" s="20"/>
    </row>
    <row r="325" spans="17:44">
      <c r="Q325" s="99" t="s">
        <v>4807</v>
      </c>
      <c r="R325" s="95">
        <v>68656</v>
      </c>
      <c r="T325" s="213" t="s">
        <v>5241</v>
      </c>
      <c r="U325" s="213">
        <v>24374</v>
      </c>
      <c r="V325" s="113">
        <v>471.81700000000001</v>
      </c>
      <c r="W325" s="113">
        <f t="shared" si="81"/>
        <v>11500067.558</v>
      </c>
      <c r="X325" s="36" t="s">
        <v>5245</v>
      </c>
      <c r="AH325" s="195">
        <v>92</v>
      </c>
      <c r="AI325" s="195" t="s">
        <v>5172</v>
      </c>
      <c r="AJ325" s="196">
        <v>-300000</v>
      </c>
      <c r="AK325" s="195">
        <v>1</v>
      </c>
      <c r="AL325" s="195">
        <f t="shared" si="82"/>
        <v>66</v>
      </c>
      <c r="AM325" s="195">
        <f t="shared" si="83"/>
        <v>-19800000</v>
      </c>
      <c r="AN325" s="195"/>
    </row>
    <row r="326" spans="17:44">
      <c r="Q326" s="99" t="s">
        <v>4820</v>
      </c>
      <c r="R326" s="95">
        <v>4000236</v>
      </c>
      <c r="T326" s="213" t="s">
        <v>5247</v>
      </c>
      <c r="U326" s="213">
        <v>530</v>
      </c>
      <c r="V326" s="113">
        <v>472</v>
      </c>
      <c r="W326" s="113">
        <f t="shared" si="81"/>
        <v>250160</v>
      </c>
      <c r="X326" s="36" t="s">
        <v>750</v>
      </c>
      <c r="AH326" s="20">
        <v>93</v>
      </c>
      <c r="AI326" s="20" t="s">
        <v>5129</v>
      </c>
      <c r="AJ326" s="117">
        <v>300000</v>
      </c>
      <c r="AK326" s="20">
        <v>0</v>
      </c>
      <c r="AL326" s="20">
        <f t="shared" si="82"/>
        <v>65</v>
      </c>
      <c r="AM326" s="20">
        <f t="shared" si="83"/>
        <v>19500000</v>
      </c>
      <c r="AN326" s="20"/>
    </row>
    <row r="327" spans="17:44" ht="30">
      <c r="Q327" s="99" t="s">
        <v>4820</v>
      </c>
      <c r="R327" s="95">
        <v>2250000</v>
      </c>
      <c r="T327" s="213" t="s">
        <v>5247</v>
      </c>
      <c r="U327" s="213">
        <v>12</v>
      </c>
      <c r="V327" s="113">
        <v>481.86</v>
      </c>
      <c r="W327" s="113">
        <f t="shared" si="81"/>
        <v>5782.32</v>
      </c>
      <c r="X327" s="36" t="s">
        <v>5252</v>
      </c>
      <c r="AH327" s="20">
        <v>94</v>
      </c>
      <c r="AI327" s="20" t="s">
        <v>5129</v>
      </c>
      <c r="AJ327" s="117">
        <v>8660000</v>
      </c>
      <c r="AK327" s="20">
        <v>8</v>
      </c>
      <c r="AL327" s="20">
        <f t="shared" si="82"/>
        <v>65</v>
      </c>
      <c r="AM327" s="20">
        <f t="shared" si="83"/>
        <v>562900000</v>
      </c>
      <c r="AN327" s="20"/>
    </row>
    <row r="328" spans="17:44">
      <c r="Q328" s="99" t="s">
        <v>4825</v>
      </c>
      <c r="R328" s="95">
        <v>-2512200</v>
      </c>
      <c r="T328" s="213" t="s">
        <v>5275</v>
      </c>
      <c r="U328" s="213">
        <v>12330</v>
      </c>
      <c r="V328" s="113">
        <v>486.63443869999998</v>
      </c>
      <c r="W328" s="113">
        <f t="shared" si="81"/>
        <v>6000202.6291709999</v>
      </c>
      <c r="X328" s="36" t="s">
        <v>5245</v>
      </c>
      <c r="AH328" s="149">
        <v>95</v>
      </c>
      <c r="AI328" s="149" t="s">
        <v>5195</v>
      </c>
      <c r="AJ328" s="188">
        <v>200000</v>
      </c>
      <c r="AK328" s="149">
        <v>3</v>
      </c>
      <c r="AL328" s="149">
        <f t="shared" si="82"/>
        <v>57</v>
      </c>
      <c r="AM328" s="149">
        <f t="shared" si="83"/>
        <v>11400000</v>
      </c>
      <c r="AN328" s="149"/>
    </row>
    <row r="329" spans="17:44">
      <c r="Q329" s="99" t="s">
        <v>4834</v>
      </c>
      <c r="R329" s="95">
        <v>300000</v>
      </c>
      <c r="T329" s="213" t="s">
        <v>5280</v>
      </c>
      <c r="U329" s="213">
        <v>846</v>
      </c>
      <c r="V329" s="113">
        <v>472.7</v>
      </c>
      <c r="W329" s="113">
        <f t="shared" si="81"/>
        <v>399904.2</v>
      </c>
      <c r="X329" s="36" t="s">
        <v>452</v>
      </c>
      <c r="AH329" s="149">
        <v>96</v>
      </c>
      <c r="AI329" s="149" t="s">
        <v>5200</v>
      </c>
      <c r="AJ329" s="188">
        <v>20000</v>
      </c>
      <c r="AK329" s="149">
        <v>1</v>
      </c>
      <c r="AL329" s="149">
        <f t="shared" si="82"/>
        <v>54</v>
      </c>
      <c r="AM329" s="149">
        <f t="shared" si="83"/>
        <v>1080000</v>
      </c>
      <c r="AN329" s="149"/>
    </row>
    <row r="330" spans="17:44">
      <c r="Q330" s="99" t="s">
        <v>979</v>
      </c>
      <c r="R330" s="95">
        <v>1100000</v>
      </c>
      <c r="T330" s="213" t="s">
        <v>5280</v>
      </c>
      <c r="U330" s="213">
        <v>3173</v>
      </c>
      <c r="V330" s="113">
        <v>472.7</v>
      </c>
      <c r="W330" s="113">
        <f t="shared" si="81"/>
        <v>1499877.0999999999</v>
      </c>
      <c r="X330" s="36" t="s">
        <v>1084</v>
      </c>
      <c r="AH330" s="20">
        <v>97</v>
      </c>
      <c r="AI330" s="20" t="s">
        <v>5211</v>
      </c>
      <c r="AJ330" s="117">
        <v>14340000</v>
      </c>
      <c r="AK330" s="20">
        <v>7</v>
      </c>
      <c r="AL330" s="20">
        <f t="shared" si="82"/>
        <v>53</v>
      </c>
      <c r="AM330" s="20">
        <f t="shared" si="83"/>
        <v>760020000</v>
      </c>
      <c r="AN330" s="20"/>
    </row>
    <row r="331" spans="17:44">
      <c r="Q331" s="99" t="s">
        <v>4841</v>
      </c>
      <c r="R331" s="95">
        <v>890000</v>
      </c>
      <c r="T331" s="213" t="s">
        <v>5286</v>
      </c>
      <c r="U331" s="213">
        <v>191</v>
      </c>
      <c r="V331" s="113">
        <v>484.572</v>
      </c>
      <c r="W331" s="113">
        <f t="shared" si="81"/>
        <v>92553.252000000008</v>
      </c>
      <c r="X331" s="36" t="s">
        <v>5287</v>
      </c>
      <c r="AH331" s="20">
        <v>98</v>
      </c>
      <c r="AI331" s="20" t="s">
        <v>5222</v>
      </c>
      <c r="AJ331" s="117">
        <v>10000000</v>
      </c>
      <c r="AK331" s="20">
        <v>6</v>
      </c>
      <c r="AL331" s="20">
        <f t="shared" si="82"/>
        <v>46</v>
      </c>
      <c r="AM331" s="20">
        <f t="shared" si="83"/>
        <v>460000000</v>
      </c>
      <c r="AN331" s="20" t="s">
        <v>4746</v>
      </c>
    </row>
    <row r="332" spans="17:44">
      <c r="Q332" s="99" t="s">
        <v>4861</v>
      </c>
      <c r="R332" s="95">
        <v>1000000</v>
      </c>
      <c r="T332" s="213" t="s">
        <v>5286</v>
      </c>
      <c r="U332" s="213">
        <v>-206</v>
      </c>
      <c r="V332" s="113">
        <v>484.572</v>
      </c>
      <c r="W332" s="113">
        <f t="shared" si="81"/>
        <v>-99821.831999999995</v>
      </c>
      <c r="X332" s="36" t="s">
        <v>5289</v>
      </c>
      <c r="Z332" t="s">
        <v>25</v>
      </c>
      <c r="AH332" s="20">
        <v>99</v>
      </c>
      <c r="AI332" s="20" t="s">
        <v>5231</v>
      </c>
      <c r="AJ332" s="117">
        <v>4033949</v>
      </c>
      <c r="AK332" s="20">
        <v>2</v>
      </c>
      <c r="AL332" s="20">
        <f t="shared" si="82"/>
        <v>40</v>
      </c>
      <c r="AM332" s="20">
        <f t="shared" si="83"/>
        <v>161357960</v>
      </c>
      <c r="AN332" s="20" t="s">
        <v>5235</v>
      </c>
      <c r="AR332" t="s">
        <v>25</v>
      </c>
    </row>
    <row r="333" spans="17:44">
      <c r="Q333" s="99" t="s">
        <v>4862</v>
      </c>
      <c r="R333" s="95">
        <v>45436311</v>
      </c>
      <c r="T333" s="213" t="s">
        <v>5291</v>
      </c>
      <c r="U333" s="213">
        <v>20685</v>
      </c>
      <c r="V333" s="113">
        <v>483.43312200000003</v>
      </c>
      <c r="W333" s="113">
        <f t="shared" si="81"/>
        <v>9999814.1285699997</v>
      </c>
      <c r="X333" s="36" t="s">
        <v>5296</v>
      </c>
      <c r="AH333" s="149">
        <v>100</v>
      </c>
      <c r="AI333" s="149" t="s">
        <v>5240</v>
      </c>
      <c r="AJ333" s="188">
        <v>11500000</v>
      </c>
      <c r="AK333" s="149">
        <v>2</v>
      </c>
      <c r="AL333" s="149">
        <f t="shared" si="82"/>
        <v>38</v>
      </c>
      <c r="AM333" s="149">
        <f t="shared" si="83"/>
        <v>437000000</v>
      </c>
      <c r="AN333" s="149" t="s">
        <v>5243</v>
      </c>
    </row>
    <row r="334" spans="17:44">
      <c r="Q334" s="99" t="s">
        <v>4862</v>
      </c>
      <c r="R334" s="95">
        <v>-3500000</v>
      </c>
      <c r="T334" s="213" t="s">
        <v>5291</v>
      </c>
      <c r="U334" s="213">
        <v>-413</v>
      </c>
      <c r="V334" s="113">
        <v>483.40199999999999</v>
      </c>
      <c r="W334" s="113">
        <f t="shared" si="81"/>
        <v>-199645.02599999998</v>
      </c>
      <c r="X334" s="36" t="s">
        <v>4436</v>
      </c>
      <c r="AH334" s="149">
        <v>101</v>
      </c>
      <c r="AI334" s="149" t="s">
        <v>5247</v>
      </c>
      <c r="AJ334" s="188">
        <v>250000</v>
      </c>
      <c r="AK334" s="149">
        <v>3</v>
      </c>
      <c r="AL334" s="149">
        <f t="shared" si="82"/>
        <v>36</v>
      </c>
      <c r="AM334" s="149">
        <f t="shared" si="83"/>
        <v>9000000</v>
      </c>
      <c r="AN334" s="149"/>
    </row>
    <row r="335" spans="17:44">
      <c r="Q335" s="99" t="s">
        <v>4875</v>
      </c>
      <c r="R335" s="95">
        <v>2520000</v>
      </c>
      <c r="T335" s="213" t="s">
        <v>5291</v>
      </c>
      <c r="U335" s="213">
        <v>413</v>
      </c>
      <c r="V335" s="113">
        <v>483.40199999999999</v>
      </c>
      <c r="W335" s="113">
        <f t="shared" si="81"/>
        <v>199645.02599999998</v>
      </c>
      <c r="X335" s="36" t="s">
        <v>750</v>
      </c>
      <c r="AH335" s="149">
        <v>102</v>
      </c>
      <c r="AI335" s="149" t="s">
        <v>5275</v>
      </c>
      <c r="AJ335" s="188">
        <v>6000000</v>
      </c>
      <c r="AK335" s="149">
        <v>1</v>
      </c>
      <c r="AL335" s="149">
        <f t="shared" si="82"/>
        <v>33</v>
      </c>
      <c r="AM335" s="149">
        <f t="shared" si="83"/>
        <v>198000000</v>
      </c>
      <c r="AN335" s="149" t="s">
        <v>5243</v>
      </c>
    </row>
    <row r="336" spans="17:44">
      <c r="Q336" s="99" t="s">
        <v>4910</v>
      </c>
      <c r="R336" s="95">
        <v>4900000</v>
      </c>
      <c r="T336" s="213" t="s">
        <v>5300</v>
      </c>
      <c r="U336" s="213">
        <v>-828</v>
      </c>
      <c r="V336" s="113">
        <v>483.43312200000003</v>
      </c>
      <c r="W336" s="113">
        <f t="shared" si="81"/>
        <v>-400282.62501600001</v>
      </c>
      <c r="X336" s="36" t="s">
        <v>452</v>
      </c>
      <c r="AH336" s="149">
        <v>103</v>
      </c>
      <c r="AI336" s="149" t="s">
        <v>5280</v>
      </c>
      <c r="AJ336" s="188">
        <v>1500000</v>
      </c>
      <c r="AK336" s="149">
        <v>6</v>
      </c>
      <c r="AL336" s="149">
        <f t="shared" si="82"/>
        <v>32</v>
      </c>
      <c r="AM336" s="149">
        <f t="shared" si="83"/>
        <v>48000000</v>
      </c>
      <c r="AN336" s="149" t="s">
        <v>5243</v>
      </c>
      <c r="AR336" t="s">
        <v>25</v>
      </c>
    </row>
    <row r="337" spans="17:46">
      <c r="Q337" s="99" t="s">
        <v>4931</v>
      </c>
      <c r="R337" s="95">
        <v>1150000</v>
      </c>
      <c r="S337" s="114"/>
      <c r="T337" s="213" t="s">
        <v>5307</v>
      </c>
      <c r="U337" s="213">
        <v>12</v>
      </c>
      <c r="V337" s="113">
        <v>473.61898300000001</v>
      </c>
      <c r="W337" s="113">
        <f t="shared" si="81"/>
        <v>5683.4277959999999</v>
      </c>
      <c r="X337" s="36" t="s">
        <v>452</v>
      </c>
      <c r="AH337" s="20">
        <v>104</v>
      </c>
      <c r="AI337" s="20" t="s">
        <v>973</v>
      </c>
      <c r="AJ337" s="117">
        <v>-3960043</v>
      </c>
      <c r="AK337" s="20">
        <v>2</v>
      </c>
      <c r="AL337" s="20">
        <f t="shared" si="82"/>
        <v>26</v>
      </c>
      <c r="AM337" s="20">
        <f t="shared" si="83"/>
        <v>-102961118</v>
      </c>
      <c r="AN337" s="20"/>
      <c r="AS337" t="s">
        <v>25</v>
      </c>
    </row>
    <row r="338" spans="17:46">
      <c r="Q338" s="99" t="s">
        <v>4882</v>
      </c>
      <c r="R338" s="95">
        <v>250000</v>
      </c>
      <c r="T338" s="213" t="s">
        <v>5311</v>
      </c>
      <c r="U338" s="213">
        <v>963</v>
      </c>
      <c r="V338" s="113">
        <v>477.92200000000003</v>
      </c>
      <c r="W338" s="113">
        <f t="shared" si="81"/>
        <v>460238.886</v>
      </c>
      <c r="X338" s="36" t="s">
        <v>452</v>
      </c>
      <c r="AH338" s="20">
        <v>105</v>
      </c>
      <c r="AI338" s="20" t="s">
        <v>5311</v>
      </c>
      <c r="AJ338" s="117">
        <v>230000</v>
      </c>
      <c r="AK338" s="20">
        <v>0</v>
      </c>
      <c r="AL338" s="20">
        <f t="shared" si="82"/>
        <v>24</v>
      </c>
      <c r="AM338" s="20">
        <f t="shared" si="83"/>
        <v>5520000</v>
      </c>
      <c r="AN338" s="20"/>
      <c r="AR338" t="s">
        <v>25</v>
      </c>
      <c r="AT338" s="96" t="s">
        <v>25</v>
      </c>
    </row>
    <row r="339" spans="17:46">
      <c r="Q339" s="99" t="s">
        <v>4972</v>
      </c>
      <c r="R339" s="95">
        <v>1403460</v>
      </c>
      <c r="T339" s="213" t="s">
        <v>5312</v>
      </c>
      <c r="U339" s="213">
        <v>2815</v>
      </c>
      <c r="V339" s="113">
        <v>461.79</v>
      </c>
      <c r="W339" s="113">
        <f t="shared" si="81"/>
        <v>1299938.8500000001</v>
      </c>
      <c r="X339" s="36" t="s">
        <v>452</v>
      </c>
      <c r="AH339" s="149">
        <v>106</v>
      </c>
      <c r="AI339" s="149" t="s">
        <v>5311</v>
      </c>
      <c r="AJ339" s="188">
        <v>230000</v>
      </c>
      <c r="AK339" s="149">
        <v>1</v>
      </c>
      <c r="AL339" s="149">
        <f t="shared" ref="AL339:AL343" si="84">AK339+AL340</f>
        <v>24</v>
      </c>
      <c r="AM339" s="149">
        <f t="shared" ref="AM339:AM343" si="85">AJ339*AL339</f>
        <v>5520000</v>
      </c>
      <c r="AN339" s="149"/>
      <c r="AS339" t="s">
        <v>25</v>
      </c>
    </row>
    <row r="340" spans="17:46">
      <c r="Q340" s="99" t="s">
        <v>4977</v>
      </c>
      <c r="R340" s="95">
        <v>200000</v>
      </c>
      <c r="T340" s="213" t="s">
        <v>5312</v>
      </c>
      <c r="U340" s="213">
        <v>1581</v>
      </c>
      <c r="V340" s="113">
        <v>461.79</v>
      </c>
      <c r="W340" s="113">
        <f t="shared" si="81"/>
        <v>730089.99</v>
      </c>
      <c r="X340" s="36" t="s">
        <v>452</v>
      </c>
      <c r="AH340" s="149">
        <v>107</v>
      </c>
      <c r="AI340" s="149" t="s">
        <v>5312</v>
      </c>
      <c r="AJ340" s="188">
        <v>500000</v>
      </c>
      <c r="AK340" s="149">
        <v>1</v>
      </c>
      <c r="AL340" s="149">
        <f t="shared" si="84"/>
        <v>23</v>
      </c>
      <c r="AM340" s="149">
        <f t="shared" si="85"/>
        <v>11500000</v>
      </c>
      <c r="AN340" s="149"/>
    </row>
    <row r="341" spans="17:46">
      <c r="Q341" s="99" t="s">
        <v>4983</v>
      </c>
      <c r="R341" s="95">
        <v>345000</v>
      </c>
      <c r="T341" s="213" t="s">
        <v>5323</v>
      </c>
      <c r="U341" s="213">
        <v>1916</v>
      </c>
      <c r="V341" s="113">
        <v>521.70000000000005</v>
      </c>
      <c r="W341" s="113">
        <f t="shared" si="81"/>
        <v>999577.20000000007</v>
      </c>
      <c r="X341" s="36" t="s">
        <v>1084</v>
      </c>
      <c r="AH341" s="20">
        <v>108</v>
      </c>
      <c r="AI341" s="20" t="s">
        <v>5318</v>
      </c>
      <c r="AJ341" s="117">
        <v>-880000</v>
      </c>
      <c r="AK341" s="20">
        <v>4</v>
      </c>
      <c r="AL341" s="20">
        <f t="shared" si="84"/>
        <v>22</v>
      </c>
      <c r="AM341" s="20">
        <f t="shared" si="85"/>
        <v>-19360000</v>
      </c>
      <c r="AN341" s="20"/>
    </row>
    <row r="342" spans="17:46">
      <c r="Q342" s="99" t="s">
        <v>4988</v>
      </c>
      <c r="R342" s="95">
        <v>900000</v>
      </c>
      <c r="T342" s="213" t="s">
        <v>990</v>
      </c>
      <c r="U342" s="213">
        <v>41</v>
      </c>
      <c r="V342" s="113">
        <v>514.48099999999999</v>
      </c>
      <c r="W342" s="113">
        <f t="shared" si="81"/>
        <v>21093.721000000001</v>
      </c>
      <c r="X342" s="36" t="s">
        <v>5287</v>
      </c>
      <c r="AH342" s="195">
        <v>109</v>
      </c>
      <c r="AI342" s="195" t="s">
        <v>5323</v>
      </c>
      <c r="AJ342" s="196">
        <v>873000</v>
      </c>
      <c r="AK342" s="195">
        <v>0</v>
      </c>
      <c r="AL342" s="195">
        <f t="shared" si="84"/>
        <v>18</v>
      </c>
      <c r="AM342" s="195">
        <f t="shared" si="85"/>
        <v>15714000</v>
      </c>
      <c r="AN342" s="195" t="s">
        <v>5243</v>
      </c>
    </row>
    <row r="343" spans="17:46">
      <c r="Q343" s="99" t="s">
        <v>4992</v>
      </c>
      <c r="R343" s="95">
        <v>372517</v>
      </c>
      <c r="T343" s="213" t="s">
        <v>4272</v>
      </c>
      <c r="U343" s="213">
        <v>71</v>
      </c>
      <c r="V343" s="113">
        <v>482.57</v>
      </c>
      <c r="W343" s="113">
        <f t="shared" si="81"/>
        <v>34262.47</v>
      </c>
      <c r="X343" s="36" t="s">
        <v>5287</v>
      </c>
      <c r="AH343" s="20">
        <v>110</v>
      </c>
      <c r="AI343" s="20" t="s">
        <v>5323</v>
      </c>
      <c r="AJ343" s="117">
        <v>127000</v>
      </c>
      <c r="AK343" s="20">
        <v>0</v>
      </c>
      <c r="AL343" s="20">
        <f t="shared" si="84"/>
        <v>18</v>
      </c>
      <c r="AM343" s="20">
        <f t="shared" si="85"/>
        <v>2286000</v>
      </c>
      <c r="AN343" s="20" t="s">
        <v>5243</v>
      </c>
    </row>
    <row r="344" spans="17:46">
      <c r="Q344" s="99" t="s">
        <v>5003</v>
      </c>
      <c r="R344" s="95">
        <v>6489257</v>
      </c>
      <c r="T344" s="213" t="s">
        <v>5352</v>
      </c>
      <c r="U344" s="213">
        <v>-250</v>
      </c>
      <c r="V344" s="113">
        <v>487.125</v>
      </c>
      <c r="W344" s="113">
        <f t="shared" si="81"/>
        <v>-121781.25</v>
      </c>
      <c r="X344" s="36" t="s">
        <v>4436</v>
      </c>
      <c r="AH344" s="20">
        <v>111</v>
      </c>
      <c r="AI344" s="20" t="s">
        <v>5323</v>
      </c>
      <c r="AJ344" s="117">
        <v>73000</v>
      </c>
      <c r="AK344" s="20">
        <v>1</v>
      </c>
      <c r="AL344" s="20">
        <f t="shared" ref="AL344:AL348" si="86">AK344+AL345</f>
        <v>18</v>
      </c>
      <c r="AM344" s="20">
        <f t="shared" ref="AM344:AM348" si="87">AJ344*AL344</f>
        <v>1314000</v>
      </c>
      <c r="AN344" s="20"/>
    </row>
    <row r="345" spans="17:46">
      <c r="Q345" s="99" t="s">
        <v>5056</v>
      </c>
      <c r="R345" s="95">
        <v>618000</v>
      </c>
      <c r="T345" s="213" t="s">
        <v>5352</v>
      </c>
      <c r="U345" s="213">
        <v>250</v>
      </c>
      <c r="V345" s="113">
        <v>487.125</v>
      </c>
      <c r="W345" s="113">
        <f t="shared" si="81"/>
        <v>121781.25</v>
      </c>
      <c r="X345" s="36" t="s">
        <v>750</v>
      </c>
      <c r="AH345" s="20">
        <v>112</v>
      </c>
      <c r="AI345" s="20" t="s">
        <v>990</v>
      </c>
      <c r="AJ345" s="117">
        <v>4300000</v>
      </c>
      <c r="AK345" s="20">
        <v>1</v>
      </c>
      <c r="AL345" s="20">
        <f t="shared" si="86"/>
        <v>17</v>
      </c>
      <c r="AM345" s="20">
        <f t="shared" si="87"/>
        <v>73100000</v>
      </c>
      <c r="AN345" s="20"/>
    </row>
    <row r="346" spans="17:46">
      <c r="Q346" s="99" t="s">
        <v>5070</v>
      </c>
      <c r="R346" s="95">
        <v>20105000</v>
      </c>
      <c r="T346" s="213" t="s">
        <v>5369</v>
      </c>
      <c r="U346" s="213">
        <v>-1439</v>
      </c>
      <c r="V346" s="113">
        <v>486.53068999999999</v>
      </c>
      <c r="W346" s="113">
        <f t="shared" si="81"/>
        <v>-700117.66290999996</v>
      </c>
      <c r="X346" s="36" t="s">
        <v>4436</v>
      </c>
      <c r="AA346" t="s">
        <v>25</v>
      </c>
      <c r="AH346" s="20">
        <v>113</v>
      </c>
      <c r="AI346" s="20" t="s">
        <v>5147</v>
      </c>
      <c r="AJ346" s="117">
        <v>1600000</v>
      </c>
      <c r="AK346" s="20">
        <v>0</v>
      </c>
      <c r="AL346" s="20">
        <f t="shared" si="86"/>
        <v>16</v>
      </c>
      <c r="AM346" s="20">
        <f t="shared" si="87"/>
        <v>25600000</v>
      </c>
      <c r="AN346" s="20"/>
    </row>
    <row r="347" spans="17:46">
      <c r="Q347" s="99" t="s">
        <v>5075</v>
      </c>
      <c r="R347" s="95">
        <v>-21079990</v>
      </c>
      <c r="T347" s="213" t="s">
        <v>5369</v>
      </c>
      <c r="U347" s="213">
        <v>411</v>
      </c>
      <c r="V347" s="113">
        <v>486.53068999999999</v>
      </c>
      <c r="W347" s="113">
        <f t="shared" si="81"/>
        <v>199964.11358999999</v>
      </c>
      <c r="X347" s="36" t="s">
        <v>750</v>
      </c>
      <c r="AH347" s="20">
        <v>114</v>
      </c>
      <c r="AI347" s="20" t="s">
        <v>4272</v>
      </c>
      <c r="AJ347" s="117">
        <v>-10000000</v>
      </c>
      <c r="AK347" s="20">
        <v>1</v>
      </c>
      <c r="AL347" s="20">
        <f t="shared" si="86"/>
        <v>16</v>
      </c>
      <c r="AM347" s="20">
        <f t="shared" si="87"/>
        <v>-160000000</v>
      </c>
      <c r="AN347" s="20" t="s">
        <v>5336</v>
      </c>
    </row>
    <row r="348" spans="17:46">
      <c r="Q348" s="99" t="s">
        <v>5076</v>
      </c>
      <c r="R348" s="95">
        <v>-5949277</v>
      </c>
      <c r="T348" s="213" t="s">
        <v>5310</v>
      </c>
      <c r="U348" s="213">
        <v>-4290</v>
      </c>
      <c r="V348" s="113">
        <v>497.57670000000002</v>
      </c>
      <c r="W348" s="113">
        <f t="shared" si="81"/>
        <v>-2134604.0430000001</v>
      </c>
      <c r="X348" s="36" t="s">
        <v>452</v>
      </c>
      <c r="AH348" s="20">
        <v>115</v>
      </c>
      <c r="AI348" s="20" t="s">
        <v>5335</v>
      </c>
      <c r="AJ348" s="117">
        <v>571000</v>
      </c>
      <c r="AK348" s="20">
        <v>4</v>
      </c>
      <c r="AL348" s="20">
        <f t="shared" si="86"/>
        <v>15</v>
      </c>
      <c r="AM348" s="20">
        <f t="shared" si="87"/>
        <v>8565000</v>
      </c>
      <c r="AN348" s="20"/>
    </row>
    <row r="349" spans="17:46">
      <c r="Q349" s="99" t="s">
        <v>5083</v>
      </c>
      <c r="R349" s="95">
        <v>-15370656</v>
      </c>
      <c r="T349" s="213" t="s">
        <v>5384</v>
      </c>
      <c r="U349" s="213">
        <v>-644</v>
      </c>
      <c r="V349" s="113">
        <v>494.76464499999997</v>
      </c>
      <c r="W349" s="113">
        <f t="shared" si="81"/>
        <v>-318628.43137999997</v>
      </c>
      <c r="X349" s="36" t="s">
        <v>452</v>
      </c>
      <c r="AH349" s="20">
        <v>116</v>
      </c>
      <c r="AI349" s="20" t="s">
        <v>5340</v>
      </c>
      <c r="AJ349" s="117">
        <v>200000</v>
      </c>
      <c r="AK349" s="20">
        <v>3</v>
      </c>
      <c r="AL349" s="20">
        <f t="shared" ref="AL349:AL362" si="88">AK349+AL350</f>
        <v>11</v>
      </c>
      <c r="AM349" s="20">
        <f t="shared" ref="AM349:AM362" si="89">AJ349*AL349</f>
        <v>2200000</v>
      </c>
      <c r="AN349" s="20"/>
    </row>
    <row r="350" spans="17:46">
      <c r="Q350" s="99" t="s">
        <v>5090</v>
      </c>
      <c r="R350" s="95">
        <v>4960000</v>
      </c>
      <c r="T350" s="168"/>
      <c r="U350" s="168"/>
      <c r="V350" s="113"/>
      <c r="W350" s="113"/>
      <c r="X350" s="99"/>
      <c r="AH350" s="149">
        <v>117</v>
      </c>
      <c r="AI350" s="149" t="s">
        <v>5352</v>
      </c>
      <c r="AJ350" s="188">
        <v>50000</v>
      </c>
      <c r="AK350" s="149">
        <v>7</v>
      </c>
      <c r="AL350" s="149">
        <f t="shared" si="88"/>
        <v>8</v>
      </c>
      <c r="AM350" s="149">
        <f t="shared" si="89"/>
        <v>400000</v>
      </c>
      <c r="AN350" s="149"/>
    </row>
    <row r="351" spans="17:46">
      <c r="Q351" s="99" t="s">
        <v>5090</v>
      </c>
      <c r="R351" s="95">
        <v>10000000</v>
      </c>
      <c r="T351" s="168"/>
      <c r="U351" s="168">
        <f>SUM(U214:U350)</f>
        <v>3653829</v>
      </c>
      <c r="V351" s="99"/>
      <c r="W351" s="99"/>
      <c r="X351" s="99"/>
      <c r="AH351" s="20">
        <v>118</v>
      </c>
      <c r="AI351" s="20" t="s">
        <v>5369</v>
      </c>
      <c r="AJ351" s="117">
        <v>-500000</v>
      </c>
      <c r="AK351" s="20">
        <v>1</v>
      </c>
      <c r="AL351" s="20">
        <f t="shared" si="88"/>
        <v>1</v>
      </c>
      <c r="AM351" s="20">
        <f t="shared" si="89"/>
        <v>-500000</v>
      </c>
      <c r="AN351" s="20"/>
    </row>
    <row r="352" spans="17:46">
      <c r="Q352" s="99" t="s">
        <v>5099</v>
      </c>
      <c r="R352" s="95">
        <v>-40570100</v>
      </c>
      <c r="T352" s="99"/>
      <c r="U352" s="99" t="s">
        <v>6</v>
      </c>
      <c r="V352" s="99"/>
      <c r="W352" s="99"/>
      <c r="X352" s="99"/>
      <c r="AH352" s="20"/>
      <c r="AI352" s="20"/>
      <c r="AJ352" s="117"/>
      <c r="AK352" s="20"/>
      <c r="AL352" s="20">
        <f t="shared" si="88"/>
        <v>0</v>
      </c>
      <c r="AM352" s="20">
        <f t="shared" si="89"/>
        <v>0</v>
      </c>
      <c r="AN352" s="20"/>
    </row>
    <row r="353" spans="17:45">
      <c r="Q353" s="99" t="s">
        <v>5115</v>
      </c>
      <c r="R353" s="95">
        <v>1000000</v>
      </c>
      <c r="T353" s="200" t="s">
        <v>4472</v>
      </c>
      <c r="AH353" s="20"/>
      <c r="AI353" s="20"/>
      <c r="AJ353" s="117"/>
      <c r="AK353" s="20"/>
      <c r="AL353" s="20">
        <f t="shared" si="88"/>
        <v>0</v>
      </c>
      <c r="AM353" s="20">
        <f t="shared" si="89"/>
        <v>0</v>
      </c>
      <c r="AN353" s="20"/>
    </row>
    <row r="354" spans="17:45">
      <c r="Q354" s="99" t="s">
        <v>5116</v>
      </c>
      <c r="R354" s="95">
        <v>400000</v>
      </c>
      <c r="T354" s="199">
        <f>R227/U351</f>
        <v>484.83398651113669</v>
      </c>
      <c r="AH354" s="20"/>
      <c r="AI354" s="20"/>
      <c r="AJ354" s="117"/>
      <c r="AK354" s="20"/>
      <c r="AL354" s="20">
        <f t="shared" si="88"/>
        <v>0</v>
      </c>
      <c r="AM354" s="20">
        <f t="shared" si="89"/>
        <v>0</v>
      </c>
      <c r="AN354" s="20"/>
    </row>
    <row r="355" spans="17:45">
      <c r="Q355" s="99" t="s">
        <v>5123</v>
      </c>
      <c r="R355" s="95">
        <v>120000</v>
      </c>
      <c r="W355" s="114"/>
      <c r="AH355" s="20"/>
      <c r="AI355" s="20"/>
      <c r="AJ355" s="117"/>
      <c r="AK355" s="20"/>
      <c r="AL355" s="20">
        <f t="shared" si="88"/>
        <v>0</v>
      </c>
      <c r="AM355" s="20">
        <f t="shared" si="89"/>
        <v>0</v>
      </c>
      <c r="AN355" s="20"/>
    </row>
    <row r="356" spans="17:45">
      <c r="Q356" s="99" t="s">
        <v>5143</v>
      </c>
      <c r="R356" s="95">
        <v>500000</v>
      </c>
      <c r="U356" s="96" t="s">
        <v>267</v>
      </c>
      <c r="V356" t="s">
        <v>4473</v>
      </c>
      <c r="X356" t="s">
        <v>25</v>
      </c>
      <c r="Y356" t="s">
        <v>25</v>
      </c>
      <c r="AH356" s="20"/>
      <c r="AI356" s="20"/>
      <c r="AJ356" s="117"/>
      <c r="AK356" s="20"/>
      <c r="AL356" s="20">
        <f t="shared" si="88"/>
        <v>0</v>
      </c>
      <c r="AM356" s="20">
        <f t="shared" si="89"/>
        <v>0</v>
      </c>
      <c r="AN356" s="20"/>
    </row>
    <row r="357" spans="17:45">
      <c r="Q357" s="99" t="s">
        <v>5128</v>
      </c>
      <c r="R357" s="95">
        <v>744000</v>
      </c>
      <c r="T357" s="114"/>
      <c r="U357" s="113">
        <v>618906</v>
      </c>
      <c r="V357">
        <f>U357/T354</f>
        <v>1276.5317969015434</v>
      </c>
      <c r="X357" t="s">
        <v>25</v>
      </c>
      <c r="Y357" t="s">
        <v>25</v>
      </c>
      <c r="AH357" s="20"/>
      <c r="AI357" s="20"/>
      <c r="AJ357" s="117"/>
      <c r="AK357" s="20"/>
      <c r="AL357" s="20">
        <f t="shared" si="88"/>
        <v>0</v>
      </c>
      <c r="AM357" s="20">
        <f t="shared" si="89"/>
        <v>0</v>
      </c>
      <c r="AN357" s="20"/>
    </row>
    <row r="358" spans="17:45">
      <c r="Q358" s="99" t="s">
        <v>5159</v>
      </c>
      <c r="R358" s="95">
        <v>65000</v>
      </c>
      <c r="X358" t="s">
        <v>25</v>
      </c>
      <c r="AH358" s="20"/>
      <c r="AI358" s="20"/>
      <c r="AJ358" s="117"/>
      <c r="AK358" s="20"/>
      <c r="AL358" s="20">
        <f t="shared" si="88"/>
        <v>0</v>
      </c>
      <c r="AM358" s="20">
        <f t="shared" si="89"/>
        <v>0</v>
      </c>
      <c r="AN358" s="20"/>
      <c r="AS358" t="s">
        <v>25</v>
      </c>
    </row>
    <row r="359" spans="17:45" ht="30">
      <c r="Q359" s="99" t="s">
        <v>5167</v>
      </c>
      <c r="R359" s="95">
        <v>-14053702</v>
      </c>
      <c r="V359" s="22" t="s">
        <v>5322</v>
      </c>
      <c r="W359" s="223"/>
      <c r="X359" s="96" t="s">
        <v>25</v>
      </c>
      <c r="AH359" s="20"/>
      <c r="AI359" s="20"/>
      <c r="AJ359" s="117"/>
      <c r="AK359" s="20"/>
      <c r="AL359" s="20">
        <f t="shared" si="88"/>
        <v>0</v>
      </c>
      <c r="AM359" s="20">
        <f t="shared" si="89"/>
        <v>0</v>
      </c>
      <c r="AN359" s="20"/>
    </row>
    <row r="360" spans="17:45">
      <c r="Q360" s="99" t="s">
        <v>5129</v>
      </c>
      <c r="R360" s="95">
        <v>3555678</v>
      </c>
      <c r="W360" s="96" t="s">
        <v>25</v>
      </c>
      <c r="X360" t="s">
        <v>25</v>
      </c>
      <c r="AH360" s="20"/>
      <c r="AI360" s="20"/>
      <c r="AJ360" s="117"/>
      <c r="AK360" s="20"/>
      <c r="AL360" s="20">
        <f t="shared" si="88"/>
        <v>0</v>
      </c>
      <c r="AM360" s="20">
        <f t="shared" si="89"/>
        <v>0</v>
      </c>
      <c r="AN360" s="20"/>
    </row>
    <row r="361" spans="17:45">
      <c r="Q361" s="99" t="s">
        <v>5213</v>
      </c>
      <c r="R361" s="95">
        <v>3495</v>
      </c>
      <c r="X361" t="s">
        <v>25</v>
      </c>
      <c r="AH361" s="20"/>
      <c r="AI361" s="20"/>
      <c r="AJ361" s="117"/>
      <c r="AK361" s="20"/>
      <c r="AL361" s="20">
        <f t="shared" si="88"/>
        <v>0</v>
      </c>
      <c r="AM361" s="20">
        <f t="shared" si="89"/>
        <v>0</v>
      </c>
      <c r="AN361" s="20"/>
    </row>
    <row r="362" spans="17:45" ht="60">
      <c r="Q362" s="99" t="s">
        <v>5222</v>
      </c>
      <c r="R362" s="95">
        <v>6000000</v>
      </c>
      <c r="T362" s="22" t="s">
        <v>4456</v>
      </c>
      <c r="V362" s="223"/>
      <c r="X362" t="s">
        <v>25</v>
      </c>
      <c r="AH362" s="99"/>
      <c r="AI362" s="99"/>
      <c r="AJ362" s="117"/>
      <c r="AK362" s="99"/>
      <c r="AL362" s="20">
        <f t="shared" si="88"/>
        <v>0</v>
      </c>
      <c r="AM362" s="20">
        <f t="shared" si="89"/>
        <v>0</v>
      </c>
      <c r="AN362" s="20"/>
    </row>
    <row r="363" spans="17:45" ht="45">
      <c r="Q363" s="99" t="s">
        <v>5228</v>
      </c>
      <c r="R363" s="95">
        <v>17220</v>
      </c>
      <c r="T363" s="22" t="s">
        <v>4457</v>
      </c>
      <c r="AH363" s="99"/>
      <c r="AI363" s="99"/>
      <c r="AJ363" s="117"/>
      <c r="AK363" s="99"/>
      <c r="AL363" s="20">
        <f t="shared" si="82"/>
        <v>0</v>
      </c>
      <c r="AM363" s="20">
        <f t="shared" si="83"/>
        <v>0</v>
      </c>
      <c r="AN363" s="99"/>
    </row>
    <row r="364" spans="17:45">
      <c r="Q364" s="99" t="s">
        <v>5229</v>
      </c>
      <c r="R364" s="95">
        <v>8249</v>
      </c>
      <c r="S364" s="114"/>
      <c r="AH364" s="99"/>
      <c r="AI364" s="99"/>
      <c r="AJ364" s="95">
        <f>SUM(AJ234:AJ363)</f>
        <v>452187852</v>
      </c>
      <c r="AK364" s="99"/>
      <c r="AL364" s="99"/>
      <c r="AM364" s="99">
        <f>SUM(AM234:AM363)</f>
        <v>97213441507</v>
      </c>
      <c r="AN364" s="95">
        <f>AM364*AN220/31</f>
        <v>52266336.438618362</v>
      </c>
    </row>
    <row r="365" spans="17:45">
      <c r="Q365" s="99" t="s">
        <v>5231</v>
      </c>
      <c r="R365" s="95">
        <v>6937</v>
      </c>
      <c r="AJ365" t="s">
        <v>4056</v>
      </c>
      <c r="AM365" t="s">
        <v>284</v>
      </c>
      <c r="AN365" t="s">
        <v>941</v>
      </c>
    </row>
    <row r="366" spans="17:45">
      <c r="Q366" s="99" t="s">
        <v>5231</v>
      </c>
      <c r="R366" s="95">
        <v>4046552</v>
      </c>
      <c r="T366" s="99" t="s">
        <v>4474</v>
      </c>
      <c r="U366" s="99" t="s">
        <v>4446</v>
      </c>
      <c r="V366" s="99" t="s">
        <v>951</v>
      </c>
      <c r="W366" s="74"/>
    </row>
    <row r="367" spans="17:45">
      <c r="Q367" s="99" t="s">
        <v>5236</v>
      </c>
      <c r="R367" s="95">
        <v>-3884943</v>
      </c>
      <c r="T367" s="95">
        <f>S255+R301+R383</f>
        <v>928613981</v>
      </c>
      <c r="U367" s="95">
        <f>R227</f>
        <v>1771500480.1000001</v>
      </c>
      <c r="V367" s="95">
        <f>U367-T367</f>
        <v>842886499.10000014</v>
      </c>
      <c r="AI367" t="s">
        <v>4058</v>
      </c>
      <c r="AJ367" s="114">
        <f>AJ364+AN364</f>
        <v>504454188.43861836</v>
      </c>
    </row>
    <row r="368" spans="17:45">
      <c r="Q368" s="99" t="s">
        <v>5247</v>
      </c>
      <c r="R368" s="95">
        <v>6022</v>
      </c>
      <c r="AI368" t="s">
        <v>4061</v>
      </c>
      <c r="AJ368" s="114">
        <f>SUM(N20:N33)</f>
        <v>762933109</v>
      </c>
    </row>
    <row r="369" spans="17:40">
      <c r="Q369" s="99" t="s">
        <v>5280</v>
      </c>
      <c r="R369" s="95">
        <v>400000</v>
      </c>
      <c r="AI369" t="s">
        <v>4133</v>
      </c>
      <c r="AJ369" s="114">
        <f>AJ368-AJ364</f>
        <v>310745257</v>
      </c>
    </row>
    <row r="370" spans="17:40">
      <c r="Q370" s="99" t="s">
        <v>5286</v>
      </c>
      <c r="R370" s="95">
        <v>92847</v>
      </c>
      <c r="AI370" t="s">
        <v>941</v>
      </c>
      <c r="AJ370" s="114">
        <f>AN364</f>
        <v>52266336.438618362</v>
      </c>
    </row>
    <row r="371" spans="17:40">
      <c r="Q371" s="99" t="s">
        <v>5286</v>
      </c>
      <c r="R371" s="95">
        <v>-100000</v>
      </c>
      <c r="AI371" t="s">
        <v>4062</v>
      </c>
      <c r="AJ371" s="114">
        <f>AJ369-AJ370</f>
        <v>258478920.56138164</v>
      </c>
      <c r="AM371" t="s">
        <v>25</v>
      </c>
      <c r="AN371" t="s">
        <v>25</v>
      </c>
    </row>
    <row r="372" spans="17:40">
      <c r="Q372" s="99" t="s">
        <v>5291</v>
      </c>
      <c r="R372" s="95">
        <v>10000000</v>
      </c>
      <c r="T372" t="s">
        <v>25</v>
      </c>
      <c r="AN372" t="s">
        <v>25</v>
      </c>
    </row>
    <row r="373" spans="17:40">
      <c r="Q373" s="99" t="s">
        <v>5300</v>
      </c>
      <c r="R373" s="95">
        <v>-400000</v>
      </c>
      <c r="T373" t="s">
        <v>25</v>
      </c>
    </row>
    <row r="374" spans="17:40">
      <c r="Q374" s="99" t="s">
        <v>5309</v>
      </c>
      <c r="R374" s="95">
        <v>5649</v>
      </c>
    </row>
    <row r="375" spans="17:40">
      <c r="Q375" s="99" t="s">
        <v>5311</v>
      </c>
      <c r="R375" s="95">
        <v>460000</v>
      </c>
      <c r="T375" t="s">
        <v>25</v>
      </c>
      <c r="AN375" t="s">
        <v>25</v>
      </c>
    </row>
    <row r="376" spans="17:40">
      <c r="Q376" s="99" t="s">
        <v>5312</v>
      </c>
      <c r="R376" s="95">
        <v>1300000</v>
      </c>
      <c r="T376" t="s">
        <v>25</v>
      </c>
      <c r="AN376" t="s">
        <v>25</v>
      </c>
    </row>
    <row r="377" spans="17:40">
      <c r="Q377" s="99" t="s">
        <v>5312</v>
      </c>
      <c r="R377" s="95">
        <v>7300000</v>
      </c>
    </row>
    <row r="378" spans="17:40">
      <c r="Q378" s="99" t="s">
        <v>990</v>
      </c>
      <c r="R378" s="95">
        <v>21203</v>
      </c>
    </row>
    <row r="379" spans="17:40">
      <c r="Q379" s="99" t="s">
        <v>4272</v>
      </c>
      <c r="R379" s="95">
        <v>34550</v>
      </c>
      <c r="T379" t="s">
        <v>25</v>
      </c>
    </row>
    <row r="380" spans="17:40">
      <c r="Q380" s="99" t="s">
        <v>5310</v>
      </c>
      <c r="R380" s="95">
        <v>-2134406</v>
      </c>
      <c r="T380" t="s">
        <v>25</v>
      </c>
    </row>
    <row r="381" spans="17:40">
      <c r="Q381" s="99" t="s">
        <v>5384</v>
      </c>
      <c r="R381" s="95">
        <v>-618906</v>
      </c>
      <c r="W381" s="96" t="s">
        <v>25</v>
      </c>
    </row>
    <row r="382" spans="17:40">
      <c r="Q382" s="99"/>
      <c r="R382" s="95"/>
      <c r="T382" t="s">
        <v>25</v>
      </c>
    </row>
    <row r="383" spans="17:40">
      <c r="Q383" s="99"/>
      <c r="R383" s="95">
        <f>SUM(R306:R382)</f>
        <v>399281601</v>
      </c>
      <c r="T383" t="s">
        <v>25</v>
      </c>
    </row>
    <row r="384" spans="17:40">
      <c r="Q384" s="99"/>
      <c r="R384" s="99" t="s">
        <v>6</v>
      </c>
      <c r="T384" t="s">
        <v>25</v>
      </c>
    </row>
    <row r="385" spans="18:21">
      <c r="T385" t="s">
        <v>25</v>
      </c>
      <c r="U385" s="96" t="s">
        <v>25</v>
      </c>
    </row>
    <row r="386" spans="18:21">
      <c r="T386" t="s">
        <v>25</v>
      </c>
    </row>
    <row r="387" spans="18:21">
      <c r="T387" t="s">
        <v>25</v>
      </c>
    </row>
    <row r="388" spans="18:21">
      <c r="T388" t="s">
        <v>25</v>
      </c>
    </row>
    <row r="389" spans="18:21">
      <c r="S389" t="s">
        <v>25</v>
      </c>
      <c r="T389" t="s">
        <v>25</v>
      </c>
    </row>
    <row r="391" spans="18:21">
      <c r="T391" t="s">
        <v>25</v>
      </c>
    </row>
    <row r="392" spans="18:21">
      <c r="R392" t="s">
        <v>25</v>
      </c>
      <c r="T392" t="s">
        <v>25</v>
      </c>
    </row>
    <row r="394" spans="18:21">
      <c r="U394"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6:G119 G121 G101:G108 G110 G128:G129 G133:G137 G139:G1048576">
    <cfRule type="cellIs" dxfId="9" priority="12" operator="lessThan">
      <formula>0</formula>
    </cfRule>
  </conditionalFormatting>
  <conditionalFormatting sqref="G111">
    <cfRule type="cellIs" dxfId="8" priority="3" operator="lessThan">
      <formula>0</formula>
    </cfRule>
  </conditionalFormatting>
  <conditionalFormatting sqref="G112 G114">
    <cfRule type="cellIs" dxfId="7" priority="4" operator="lessThan">
      <formula>0</formula>
    </cfRule>
  </conditionalFormatting>
  <conditionalFormatting sqref="G115">
    <cfRule type="cellIs" dxfId="6" priority="1" operator="lessThan">
      <formula>0</formula>
    </cfRule>
  </conditionalFormatting>
  <conditionalFormatting sqref="G109">
    <cfRule type="cellIs" dxfId="5" priority="5" operator="lessThan">
      <formula>0</formula>
    </cfRule>
  </conditionalFormatting>
  <conditionalFormatting sqref="G113">
    <cfRule type="cellIs" dxfId="4" priority="2" operator="lessThan">
      <formula>0</formula>
    </cfRule>
  </conditionalFormatting>
  <pageMargins left="0.7" right="0.7" top="0.75" bottom="0.75" header="0.3" footer="0.3"/>
  <pageSetup orientation="portrait" r:id="rId1"/>
  <ignoredErrors>
    <ignoredError sqref="N10" formulaRange="1"/>
    <ignoredError sqref="S22 S138 S32 G122 S145 S154 S94 S160 S162 P26 S46:S47 M108 S49 P30 S63:S64 P23 S183 S68:S69 S7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2019-11-04T08:08:15Z</dcterms:modified>
</cp:coreProperties>
</file>