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AS36" i="18" l="1"/>
  <c r="L36" i="18" l="1"/>
  <c r="AJ97" i="18" l="1"/>
  <c r="T84" i="18"/>
  <c r="S37" i="18"/>
  <c r="S38" i="18" s="1"/>
  <c r="S39" i="18" s="1"/>
  <c r="R106" i="18"/>
  <c r="R105" i="18"/>
  <c r="R104" i="18"/>
  <c r="AJ139" i="18"/>
  <c r="P25" i="18"/>
  <c r="N25" i="18" s="1"/>
  <c r="D41" i="51"/>
  <c r="L22" i="18" s="1"/>
  <c r="S40" i="18" l="1"/>
  <c r="W49" i="18" l="1"/>
  <c r="X49" i="18"/>
  <c r="P30" i="18" l="1"/>
  <c r="N30" i="18" s="1"/>
  <c r="P23" i="18"/>
  <c r="N23" i="18" s="1"/>
  <c r="N47" i="18"/>
  <c r="M75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s="1"/>
  <c r="R103" i="18" l="1"/>
  <c r="N51" i="18"/>
  <c r="N50" i="18" l="1"/>
  <c r="D108" i="50" l="1"/>
  <c r="P24" i="18" l="1"/>
  <c r="N49" i="18"/>
  <c r="C8" i="36" l="1"/>
  <c r="N44" i="18" l="1"/>
  <c r="R22" i="33" l="1"/>
  <c r="N22" i="33"/>
  <c r="C22" i="33"/>
  <c r="E22" i="33"/>
  <c r="F22" i="33"/>
  <c r="J22" i="33"/>
  <c r="AL96" i="18"/>
  <c r="AL95" i="18" s="1"/>
  <c r="AL94" i="18" l="1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8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5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8" i="18"/>
  <c r="AL85" i="18" l="1"/>
  <c r="AM86" i="18"/>
  <c r="AL129" i="18"/>
  <c r="AM130" i="18"/>
  <c r="P56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B263" i="15"/>
  <c r="AJ143" i="18" l="1"/>
  <c r="AJ144" i="18" s="1"/>
  <c r="Q32" i="18"/>
  <c r="R10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6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S69" i="18" s="1"/>
  <c r="S70" i="18" s="1"/>
  <c r="S71" i="18" s="1"/>
  <c r="S72" i="18" s="1"/>
  <c r="S73" i="18" s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L114" i="18" l="1"/>
  <c r="AM114" i="18" s="1"/>
  <c r="AM115" i="18"/>
  <c r="AC15" i="33"/>
  <c r="AM139" i="18" l="1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47" i="20" l="1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6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6" i="18"/>
  <c r="AL76" i="18" l="1"/>
  <c r="AM77" i="18"/>
  <c r="AL75" i="18" l="1"/>
  <c r="AM76" i="18"/>
  <c r="N45" i="18"/>
  <c r="R101" i="18" s="1"/>
  <c r="AJ103" i="18" l="1"/>
  <c r="AJ104" i="18" s="1"/>
  <c r="Q76" i="18"/>
  <c r="AL74" i="18"/>
  <c r="AM75" i="18"/>
  <c r="R110" i="18" l="1"/>
  <c r="U102" i="18" s="1"/>
  <c r="S89" i="18" s="1"/>
  <c r="AL73" i="18"/>
  <c r="AM74" i="18"/>
  <c r="N81" i="18"/>
  <c r="V73" i="18" l="1"/>
  <c r="V72" i="18"/>
  <c r="S86" i="18"/>
  <c r="S87" i="18"/>
  <c r="S88" i="18"/>
  <c r="N59" i="18"/>
  <c r="V38" i="18"/>
  <c r="X38" i="18" s="1"/>
  <c r="V40" i="18"/>
  <c r="V39" i="18"/>
  <c r="V68" i="18"/>
  <c r="V71" i="18"/>
  <c r="V69" i="18"/>
  <c r="V70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W38" i="18" l="1"/>
  <c r="W72" i="18"/>
  <c r="X72" i="18"/>
  <c r="X73" i="18"/>
  <c r="W73" i="18"/>
  <c r="U87" i="18"/>
  <c r="V87" i="18" s="1"/>
  <c r="N34" i="18"/>
  <c r="L21" i="18" s="1"/>
  <c r="U88" i="18"/>
  <c r="V88" i="18" s="1"/>
  <c r="N58" i="18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69" i="18"/>
  <c r="X69" i="18"/>
  <c r="W53" i="18"/>
  <c r="X53" i="18"/>
  <c r="W57" i="18"/>
  <c r="X57" i="18"/>
  <c r="W61" i="18"/>
  <c r="X61" i="18"/>
  <c r="W27" i="18"/>
  <c r="X27" i="18"/>
  <c r="W29" i="18"/>
  <c r="X29" i="18"/>
  <c r="W71" i="18"/>
  <c r="X71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70" i="18"/>
  <c r="W70" i="18"/>
  <c r="W30" i="18"/>
  <c r="X30" i="18"/>
  <c r="AL71" i="18"/>
  <c r="AM72" i="18"/>
  <c r="AL70" i="18" l="1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3" i="18" l="1"/>
  <c r="L62" i="18"/>
  <c r="F22" i="18" s="1"/>
  <c r="E33" i="13"/>
  <c r="G34" i="13"/>
  <c r="I97" i="20"/>
  <c r="K97" i="20"/>
  <c r="J97" i="20"/>
  <c r="F108" i="15"/>
  <c r="C20" i="18"/>
  <c r="G20" i="14"/>
  <c r="G21" i="14"/>
  <c r="L64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6" i="18" l="1"/>
  <c r="V86" i="18" s="1"/>
  <c r="U89" i="18"/>
  <c r="V89" i="18" s="1"/>
</calcChain>
</file>

<file path=xl/sharedStrings.xml><?xml version="1.0" encoding="utf-8"?>
<sst xmlns="http://schemas.openxmlformats.org/spreadsheetml/2006/main" count="9617" uniqueCount="4543">
  <si>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</si>
  <si>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</si>
  <si>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</si>
  <si>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</si>
  <si>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</si>
  <si>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</si>
  <si>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</si>
  <si>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</si>
  <si>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</si>
  <si>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</si>
  <si>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</si>
  <si>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</si>
  <si>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</si>
  <si>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</si>
  <si>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</si>
  <si>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</si>
  <si>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</si>
  <si>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</si>
  <si>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</si>
  <si>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</si>
  <si>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</si>
  <si>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</si>
  <si>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</si>
  <si>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</si>
  <si>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</si>
  <si>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</si>
  <si>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</si>
  <si>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</si>
  <si>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</si>
  <si>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</si>
  <si>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</si>
  <si>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</si>
  <si>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</si>
  <si>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</si>
  <si>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</si>
  <si>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</si>
  <si>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</si>
  <si>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</si>
  <si>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</si>
  <si>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</si>
  <si>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</si>
  <si>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</si>
  <si>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</si>
  <si>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</si>
  <si>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</si>
  <si>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</si>
  <si>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</si>
  <si>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</si>
  <si>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</si>
  <si>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</si>
  <si>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</si>
  <si>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</si>
  <si>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</si>
  <si>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</si>
  <si>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</si>
  <si>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</si>
  <si>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</si>
  <si>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</si>
  <si>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</si>
  <si>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</si>
  <si>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</si>
  <si>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</si>
  <si>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</si>
  <si>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</si>
  <si>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</si>
  <si>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</si>
  <si>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</si>
  <si>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</si>
  <si>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</si>
  <si>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</si>
  <si>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</si>
  <si>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</si>
  <si>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</si>
  <si>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</si>
  <si>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</si>
  <si>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</si>
  <si>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</si>
  <si>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</si>
  <si>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</si>
  <si>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</si>
  <si>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</si>
  <si>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</si>
  <si>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</si>
  <si>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</si>
  <si>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</si>
  <si>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</si>
  <si>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</si>
  <si>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</si>
  <si>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</si>
  <si>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</si>
  <si>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</si>
  <si>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</si>
  <si>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</si>
  <si>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</si>
  <si>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</si>
  <si>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</si>
  <si>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</si>
  <si>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</si>
  <si>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</si>
  <si>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</si>
  <si>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</si>
  <si>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</si>
  <si>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</si>
  <si>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</si>
  <si>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</si>
  <si>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</si>
  <si>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</si>
  <si>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</si>
  <si>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</si>
  <si>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</si>
  <si>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</si>
  <si>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</si>
  <si>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</si>
  <si>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</si>
  <si>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</si>
  <si>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</si>
  <si>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</si>
  <si>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</si>
  <si>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</si>
  <si>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</si>
  <si>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</si>
  <si>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</si>
  <si>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</si>
  <si>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</si>
  <si>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</si>
  <si>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</si>
  <si>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</si>
  <si>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</si>
  <si>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</si>
  <si>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</si>
  <si>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</si>
  <si>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</si>
  <si>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</si>
  <si>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</si>
  <si>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</si>
  <si>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</si>
  <si>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</si>
  <si>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</si>
  <si>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</si>
  <si>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</si>
  <si>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</si>
  <si>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</si>
  <si>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</si>
  <si>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</si>
  <si>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</si>
  <si>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</si>
  <si>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</si>
  <si>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</si>
  <si>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</si>
  <si>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</si>
  <si>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</si>
  <si>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</si>
  <si>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</si>
  <si>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</si>
  <si>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</si>
  <si>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</si>
  <si>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</si>
  <si>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</si>
  <si>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</si>
  <si>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</si>
  <si>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</si>
  <si>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</si>
  <si>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</si>
  <si>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</si>
  <si>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</si>
  <si>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</si>
  <si>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</si>
  <si>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</si>
  <si>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</si>
  <si>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</si>
  <si>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</si>
  <si>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</si>
  <si>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</si>
  <si>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</si>
  <si>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</si>
  <si>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</si>
  <si>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</si>
  <si>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</si>
  <si>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</si>
  <si>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</si>
  <si>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</si>
  <si>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</si>
  <si>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</si>
  <si>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</si>
  <si>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</si>
  <si>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</si>
  <si>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</si>
  <si>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</si>
  <si>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</si>
  <si>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</si>
  <si>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</si>
  <si>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</si>
  <si>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</si>
  <si>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</si>
  <si>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</si>
  <si>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</si>
  <si>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</si>
  <si>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</si>
  <si>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</si>
  <si>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</si>
  <si>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</si>
  <si>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</si>
  <si>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</si>
  <si>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</si>
  <si>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</si>
  <si>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</si>
  <si>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</si>
  <si>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</si>
  <si>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</si>
  <si>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</si>
  <si>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</si>
  <si>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</si>
  <si>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</si>
  <si>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</si>
  <si>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</si>
  <si>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</si>
  <si>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</si>
  <si>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</si>
  <si>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</si>
  <si>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</si>
  <si>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</si>
  <si>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</si>
  <si>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</si>
  <si>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</si>
  <si>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</si>
  <si>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</si>
  <si>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</si>
  <si>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</si>
  <si>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</si>
  <si>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</si>
  <si>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</si>
  <si>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</si>
  <si>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</si>
  <si>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</si>
  <si>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</si>
  <si>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</si>
  <si>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</si>
  <si>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</si>
  <si>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</si>
  <si>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</si>
  <si>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</si>
  <si>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</si>
  <si>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</si>
  <si>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</si>
  <si>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</si>
  <si>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</si>
  <si>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</si>
  <si>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</si>
  <si>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</si>
  <si>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</si>
  <si>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</si>
  <si>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</si>
  <si>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</si>
  <si>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</si>
  <si>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</si>
  <si>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</si>
  <si>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</si>
  <si>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</si>
  <si>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</si>
  <si>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</si>
  <si>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</si>
  <si>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</si>
  <si>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</si>
  <si>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</si>
  <si>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</si>
  <si>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</si>
  <si>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</si>
  <si>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</si>
  <si>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</si>
  <si>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</si>
  <si>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</si>
  <si>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</si>
  <si>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</si>
  <si>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</si>
  <si>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</si>
  <si>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</si>
  <si>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</si>
  <si>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</si>
  <si>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</si>
  <si>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</si>
  <si>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</si>
  <si>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</si>
  <si>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</si>
  <si>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</si>
  <si>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</si>
  <si>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</si>
  <si>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</si>
  <si>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</si>
  <si>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</si>
  <si>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</si>
  <si>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</si>
  <si>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</si>
  <si>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</si>
  <si>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</si>
  <si>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</si>
  <si>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</si>
  <si>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</si>
  <si>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</si>
  <si>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</si>
  <si>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</si>
  <si>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</si>
  <si>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</si>
  <si>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</si>
  <si>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</si>
  <si>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</si>
  <si>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</si>
  <si>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</si>
  <si>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</si>
  <si>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</si>
  <si>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</si>
  <si>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</si>
  <si>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</si>
  <si>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</si>
  <si>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</si>
  <si>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</si>
  <si>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</si>
  <si>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</si>
  <si>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</si>
  <si>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</si>
  <si>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</si>
  <si>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</si>
  <si>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</si>
  <si>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</si>
  <si>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</si>
  <si>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</si>
  <si>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</si>
  <si>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</si>
  <si>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</si>
  <si>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</si>
  <si>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</si>
  <si>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</si>
  <si>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</si>
  <si>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</si>
  <si>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</si>
  <si>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</si>
  <si>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</si>
  <si>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</si>
  <si>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</si>
  <si>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</si>
  <si>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</si>
  <si>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</si>
  <si>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</si>
  <si>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</si>
  <si>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</si>
  <si>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</si>
  <si>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</si>
  <si>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</si>
  <si>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</si>
  <si>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</si>
  <si>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</si>
  <si>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</si>
  <si>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</si>
  <si>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</si>
  <si>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</si>
  <si>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</si>
  <si>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</si>
  <si>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</si>
  <si>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</si>
  <si>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</si>
  <si>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</si>
  <si>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</si>
  <si>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</si>
  <si>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</si>
  <si>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</si>
  <si>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</si>
  <si>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</si>
  <si>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</si>
  <si>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</si>
  <si>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</si>
  <si>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</si>
  <si>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</si>
  <si>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</si>
  <si>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</si>
  <si>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</si>
  <si>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</si>
  <si>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</si>
  <si>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</si>
  <si>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</si>
  <si>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</si>
  <si>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</si>
  <si>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</si>
  <si>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</si>
  <si>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</si>
  <si>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</si>
  <si>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</si>
  <si>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</si>
  <si>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</si>
  <si>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</si>
  <si>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</si>
  <si>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</si>
  <si>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</si>
  <si>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</si>
  <si>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</si>
  <si>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</si>
  <si>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</si>
  <si>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</si>
  <si>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</si>
  <si>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</si>
  <si>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</si>
  <si>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</si>
  <si>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</si>
  <si>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</si>
  <si>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</si>
  <si>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</si>
  <si>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</si>
  <si>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</si>
  <si>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</si>
  <si>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</si>
  <si>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</si>
  <si>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</si>
  <si>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</si>
  <si>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</si>
  <si>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</si>
  <si>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</si>
  <si>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</si>
  <si>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</si>
  <si>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</si>
  <si>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</si>
  <si>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</si>
  <si>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</si>
  <si>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</si>
  <si>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</si>
  <si>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</si>
  <si>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</si>
  <si>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</si>
  <si>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</si>
  <si>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</si>
  <si>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</si>
  <si>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</si>
  <si>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</si>
  <si>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</si>
  <si>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</si>
  <si>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</si>
  <si>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</si>
  <si>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</si>
  <si>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</si>
  <si>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</si>
  <si>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</si>
  <si>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</si>
  <si>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</si>
  <si>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</si>
  <si>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</si>
  <si>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</si>
  <si>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</si>
  <si>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</si>
  <si>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</si>
  <si>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</si>
  <si>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</si>
  <si>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</si>
  <si>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</si>
  <si>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</si>
  <si>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</si>
  <si>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</si>
  <si>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</si>
  <si>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</si>
  <si>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</si>
  <si>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</si>
  <si>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</si>
  <si>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</si>
  <si>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</si>
  <si>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</si>
  <si>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</si>
  <si>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</si>
  <si>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</si>
  <si>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</si>
  <si>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</si>
  <si>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</si>
  <si>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</si>
  <si>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</si>
  <si>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</si>
  <si>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</si>
  <si>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</si>
  <si>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</si>
  <si>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</si>
  <si>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</si>
  <si>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</si>
  <si>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</si>
  <si>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</si>
  <si>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</si>
  <si>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</si>
  <si>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</si>
  <si>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</si>
  <si>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</si>
  <si>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</si>
  <si>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</si>
  <si>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</si>
  <si>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</si>
  <si>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</si>
  <si>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</si>
  <si>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</si>
  <si>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</si>
  <si>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</si>
  <si>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</si>
  <si>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</si>
  <si>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</si>
  <si>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</si>
  <si>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</si>
  <si>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</si>
  <si>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</si>
  <si>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</si>
  <si>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</si>
  <si>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</si>
  <si>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</si>
  <si>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</si>
  <si>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</si>
  <si>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</si>
  <si>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</si>
  <si>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</si>
  <si>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</si>
  <si>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</si>
  <si>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</si>
  <si>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</si>
  <si>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</si>
  <si>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</si>
  <si>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</si>
  <si>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</si>
  <si>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</si>
  <si>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</si>
  <si>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</si>
  <si>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</si>
  <si>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</si>
  <si>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</si>
  <si>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</si>
  <si>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</si>
  <si>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</si>
  <si>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</si>
  <si>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</si>
  <si>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</si>
  <si>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</si>
  <si>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</si>
  <si>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</si>
  <si>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</si>
  <si>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</si>
  <si>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</si>
  <si>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</si>
  <si>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</si>
  <si>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</si>
  <si>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</si>
  <si>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</si>
  <si>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</si>
  <si>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</si>
  <si>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</si>
  <si>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</si>
  <si>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</si>
  <si>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</si>
  <si>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</si>
  <si>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</si>
  <si>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</si>
  <si>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</si>
  <si>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</si>
  <si>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</si>
  <si>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</si>
  <si>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</si>
  <si>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</si>
  <si>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</si>
  <si>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</si>
  <si>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</si>
  <si>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</si>
  <si>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</si>
  <si>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</si>
  <si>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</si>
  <si>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</si>
  <si>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</si>
  <si>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</si>
  <si>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</si>
  <si>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</si>
  <si>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</si>
  <si>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</si>
  <si>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</si>
  <si>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</si>
  <si>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</si>
  <si>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</si>
  <si>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</si>
  <si>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</si>
  <si>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</si>
  <si>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</si>
  <si>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</si>
  <si>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</si>
  <si>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</si>
  <si>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</si>
  <si>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</si>
  <si>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</si>
  <si>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</si>
  <si>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</si>
  <si>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</si>
  <si>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</si>
  <si>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</si>
  <si>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</si>
  <si>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</si>
  <si>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</si>
  <si>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</si>
  <si>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</si>
  <si>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</si>
  <si>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</si>
  <si>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</si>
  <si>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</si>
  <si>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</si>
  <si>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</si>
  <si>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</si>
  <si>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</si>
  <si>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</si>
  <si>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</si>
  <si>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</si>
  <si>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</si>
  <si>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</si>
  <si>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</si>
  <si>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</si>
  <si>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</si>
  <si>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</si>
  <si>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</si>
  <si>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</si>
  <si>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</si>
  <si>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</si>
  <si>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</si>
  <si>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</si>
  <si>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</si>
  <si>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</si>
  <si>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</si>
  <si>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</si>
  <si>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</si>
  <si>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</si>
  <si>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</si>
  <si>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</si>
  <si>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</si>
  <si>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</si>
  <si>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</si>
  <si>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</si>
  <si>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</si>
  <si>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</si>
  <si>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</si>
  <si>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</si>
  <si>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</si>
  <si>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</si>
  <si>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</si>
  <si>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</si>
  <si>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</si>
  <si>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</si>
  <si>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</si>
  <si>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</si>
  <si>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</si>
  <si>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</si>
  <si>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</si>
  <si>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</si>
  <si>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</si>
  <si>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</si>
  <si>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</si>
  <si>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</si>
  <si>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</si>
  <si>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</si>
  <si>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</si>
  <si>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</si>
  <si>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</si>
  <si>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</si>
  <si>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</si>
  <si>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</si>
  <si>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</si>
  <si>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</si>
  <si>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</si>
  <si>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</si>
  <si>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</si>
  <si>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</si>
  <si>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</si>
  <si>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</si>
  <si>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</si>
  <si>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</si>
  <si>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</si>
  <si>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</si>
  <si>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</si>
  <si>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</si>
  <si>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</si>
  <si>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</si>
  <si>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</si>
  <si>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</si>
  <si>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</si>
  <si>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</si>
  <si>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</si>
  <si>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</si>
  <si>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</si>
  <si>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</si>
  <si>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</si>
  <si>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</si>
  <si>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</si>
  <si>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</si>
  <si>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</si>
  <si>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</si>
  <si>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</si>
  <si>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</si>
  <si>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</si>
  <si>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</si>
  <si>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</si>
  <si>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</si>
  <si>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</si>
  <si>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</si>
  <si>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</si>
  <si>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</si>
  <si>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</si>
  <si>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</si>
  <si>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</si>
  <si>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</si>
  <si>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</si>
  <si>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</si>
  <si>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</si>
  <si>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</si>
  <si>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</si>
  <si>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</si>
  <si>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</si>
  <si>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</si>
  <si>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</si>
  <si>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</si>
  <si>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</si>
  <si>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</si>
  <si>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</si>
  <si>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</si>
  <si>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</si>
  <si>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</si>
  <si>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</si>
  <si>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</si>
  <si>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</si>
  <si>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</si>
  <si>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</si>
  <si>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</si>
  <si>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</si>
  <si>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</si>
  <si>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</si>
  <si>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</si>
  <si>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</si>
  <si>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</si>
  <si>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</si>
  <si>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</si>
  <si>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</si>
  <si>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</si>
  <si>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</si>
  <si>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</si>
  <si>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</si>
  <si>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</si>
  <si>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</si>
  <si>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</si>
  <si>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</si>
  <si>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</si>
  <si>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</si>
  <si>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</si>
  <si>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</si>
  <si>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</si>
  <si>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</si>
  <si>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</si>
  <si>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</si>
  <si>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</si>
  <si>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</si>
  <si>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</si>
  <si>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</si>
  <si>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</si>
  <si>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</si>
  <si>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</si>
  <si>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</si>
  <si>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</si>
  <si>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</si>
  <si>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</si>
  <si>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</si>
  <si>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</si>
  <si>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</si>
  <si>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</si>
  <si>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</si>
  <si>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</si>
  <si>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</si>
  <si>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</si>
  <si>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</si>
  <si>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</si>
  <si>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</si>
  <si>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</si>
  <si>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</si>
  <si>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</si>
  <si>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</si>
  <si>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</si>
  <si>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</si>
  <si>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</si>
  <si>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</si>
  <si>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</si>
  <si>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</si>
  <si>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</si>
  <si>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</si>
  <si>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</si>
  <si>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</si>
  <si>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</si>
  <si>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</si>
  <si>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</si>
  <si>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</si>
  <si>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</si>
  <si>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</si>
  <si>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</si>
  <si>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</si>
  <si>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</si>
  <si>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</si>
  <si>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</si>
  <si>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</si>
  <si>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</si>
  <si>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</si>
  <si>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</si>
  <si>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</si>
  <si>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</si>
  <si>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</si>
  <si>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</si>
  <si>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</si>
  <si>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</si>
  <si>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</si>
  <si>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</si>
  <si>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</si>
  <si>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</si>
  <si>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</si>
  <si>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</si>
  <si>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</si>
  <si>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</si>
  <si>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</si>
  <si>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</si>
  <si>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</si>
  <si>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</si>
  <si>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</si>
  <si>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</si>
  <si>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</si>
  <si>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</si>
  <si>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</si>
  <si>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</si>
  <si>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</si>
  <si>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</si>
  <si>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</si>
  <si>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</si>
  <si>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</si>
  <si>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</si>
  <si>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</si>
  <si>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</si>
  <si>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</si>
  <si>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</si>
  <si>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</si>
  <si>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</si>
  <si>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</si>
  <si>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</si>
  <si>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</si>
  <si>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</si>
  <si>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</si>
  <si>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</si>
  <si>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</si>
  <si>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</si>
  <si>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</si>
  <si>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</si>
  <si>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</si>
  <si>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</si>
  <si>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</si>
  <si>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</si>
  <si>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</si>
  <si>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</si>
  <si>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</si>
  <si>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</si>
  <si>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</si>
  <si>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</si>
  <si>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</si>
  <si>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</si>
  <si>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</si>
  <si>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</si>
  <si>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</si>
  <si>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</si>
  <si>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</si>
  <si>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</si>
  <si>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</si>
  <si>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</si>
  <si>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</si>
  <si>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</si>
  <si>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</si>
  <si>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</si>
  <si>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</si>
  <si>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</si>
  <si>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</si>
  <si>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</si>
  <si>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</si>
  <si>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</si>
  <si>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</si>
  <si>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</si>
  <si>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</si>
  <si>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</si>
  <si>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</si>
  <si>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</si>
  <si>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</si>
  <si>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</si>
  <si>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</si>
  <si>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</si>
  <si>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</si>
  <si>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</si>
  <si>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</si>
  <si>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</si>
  <si>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</si>
  <si>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</si>
  <si>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</si>
  <si>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</si>
  <si>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</si>
  <si>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</si>
  <si>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</si>
  <si>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</si>
  <si>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</si>
  <si>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</si>
  <si>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</si>
  <si>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</si>
  <si>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</si>
  <si>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</si>
  <si>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</si>
  <si>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</si>
  <si>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</si>
  <si>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</si>
  <si>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</si>
  <si>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</si>
  <si>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</si>
  <si>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</si>
  <si>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</si>
  <si>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</si>
  <si>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</si>
  <si>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</si>
  <si>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</si>
  <si>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</si>
  <si>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</si>
  <si>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</si>
  <si>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</si>
  <si>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</si>
  <si>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</si>
  <si>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</si>
  <si>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</si>
  <si>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</si>
  <si>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</si>
  <si>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</si>
  <si>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</si>
  <si>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</si>
  <si>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</si>
  <si>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</si>
  <si>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</si>
  <si>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</si>
  <si>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</si>
  <si>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</si>
  <si>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</si>
  <si>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</si>
  <si>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</si>
  <si>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</si>
  <si>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</si>
  <si>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</si>
  <si>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</si>
  <si>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</si>
  <si>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</si>
  <si>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</si>
  <si>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</si>
  <si>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</si>
  <si>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</si>
  <si>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</si>
  <si>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</si>
  <si>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</si>
  <si>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</si>
  <si>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</si>
  <si>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</si>
  <si>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</si>
  <si>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</si>
  <si>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</si>
  <si>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</si>
  <si>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</si>
  <si>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</si>
  <si>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</si>
  <si>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</si>
  <si>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</si>
  <si>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</si>
  <si>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</si>
  <si>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</si>
  <si>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</si>
  <si>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</si>
  <si>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</si>
  <si>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</si>
  <si>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</si>
  <si>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</si>
  <si>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</si>
  <si>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</si>
  <si>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</si>
  <si>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</si>
  <si>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</si>
  <si>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</si>
  <si>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</si>
  <si>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</si>
  <si>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</si>
  <si>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</si>
  <si>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</si>
  <si>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</si>
  <si>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</si>
  <si>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</si>
  <si>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</si>
  <si>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</si>
  <si>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</si>
  <si>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</si>
  <si>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</si>
  <si>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</si>
  <si>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</si>
  <si>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</si>
  <si>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</si>
  <si>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</si>
  <si>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</si>
  <si>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</si>
  <si>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</si>
  <si>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</si>
  <si>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</si>
  <si>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</si>
  <si>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</si>
  <si>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</si>
  <si>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</si>
  <si>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</si>
  <si>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</si>
  <si>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</si>
  <si>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</si>
  <si>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</si>
  <si>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</si>
  <si>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</si>
  <si>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</si>
  <si>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</si>
  <si>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</si>
  <si>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</si>
  <si>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</si>
  <si>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</si>
  <si>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</si>
  <si>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</si>
  <si>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</si>
  <si>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</si>
  <si>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</si>
  <si>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</si>
  <si>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</si>
  <si>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</si>
  <si>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</si>
  <si>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</si>
  <si>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</si>
  <si>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</si>
  <si>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</si>
  <si>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</si>
  <si>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</si>
  <si>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</si>
  <si>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</si>
  <si>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</si>
  <si>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</si>
  <si>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</si>
  <si>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</si>
  <si>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</si>
  <si>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</si>
  <si>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</si>
  <si>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</si>
  <si>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</si>
  <si>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</si>
  <si>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</si>
  <si>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</si>
  <si>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</si>
  <si>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</si>
  <si>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</si>
  <si>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</si>
  <si>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</si>
  <si>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</si>
  <si>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</si>
  <si>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</si>
  <si>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</si>
  <si>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</si>
  <si>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</si>
  <si>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</si>
  <si>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</si>
  <si>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</si>
  <si>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</si>
  <si>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</si>
  <si>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</si>
  <si>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</si>
  <si>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</si>
  <si>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</si>
  <si>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</si>
  <si>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</si>
  <si>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</si>
  <si>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</si>
  <si>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</si>
  <si>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</si>
  <si>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</si>
  <si>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</si>
  <si>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</si>
  <si>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</si>
  <si>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</si>
  <si>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</si>
  <si>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</si>
  <si>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</si>
  <si>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</si>
  <si>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</si>
  <si>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</si>
  <si>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</si>
  <si>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</si>
  <si>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</si>
  <si>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</si>
  <si>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</si>
  <si>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</si>
  <si>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</si>
  <si>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</si>
  <si>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</si>
  <si>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</si>
  <si>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</si>
  <si>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</si>
  <si>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</si>
  <si>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</si>
  <si>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</si>
  <si>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</si>
  <si>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</si>
  <si>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</si>
  <si>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</si>
  <si>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</si>
  <si>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</si>
  <si>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</si>
  <si>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</si>
  <si>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</si>
  <si>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</si>
  <si>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</si>
  <si>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</si>
  <si>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</si>
  <si>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</si>
  <si>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</si>
  <si>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</si>
  <si>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</si>
  <si>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</si>
  <si>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</si>
  <si>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</si>
  <si>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</si>
  <si>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</si>
  <si>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</si>
  <si>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</si>
  <si>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</si>
  <si>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</si>
  <si>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</si>
  <si>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</si>
  <si>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</si>
  <si>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</si>
  <si>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</si>
  <si>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</si>
  <si>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</si>
  <si>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</si>
  <si>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</si>
  <si>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</si>
  <si>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</si>
  <si>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</si>
  <si>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</si>
  <si>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</si>
  <si>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</si>
  <si>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</si>
  <si>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</si>
  <si>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</si>
  <si>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</si>
  <si>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</si>
  <si>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</si>
  <si>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</si>
  <si>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</si>
  <si>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</si>
  <si>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</si>
  <si>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</si>
  <si>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</si>
  <si>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</si>
  <si>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</si>
  <si>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</si>
  <si>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</si>
  <si>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</si>
  <si>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</si>
  <si>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</si>
  <si>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</si>
  <si>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</si>
  <si>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</si>
  <si>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</si>
  <si>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</si>
  <si>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</si>
  <si>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</si>
  <si>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</si>
  <si>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</si>
  <si>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</si>
  <si>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</si>
  <si>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</si>
  <si>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</si>
  <si>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</si>
  <si>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</si>
  <si>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</si>
  <si>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</si>
  <si>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</si>
  <si>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</si>
  <si>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</si>
  <si>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</si>
  <si>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</si>
  <si>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</si>
  <si>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</si>
  <si>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</si>
  <si>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</si>
  <si>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</si>
  <si>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</si>
  <si>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</si>
  <si>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</si>
  <si>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</si>
  <si>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</si>
  <si>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</si>
  <si>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</si>
  <si>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</si>
  <si>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</si>
  <si>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</si>
  <si>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</si>
  <si>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</si>
  <si>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</si>
  <si>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</si>
  <si>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</si>
  <si>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</si>
  <si>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</si>
  <si>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</si>
  <si>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</si>
  <si>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</si>
  <si>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</si>
  <si>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</si>
  <si>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</si>
  <si>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</si>
  <si>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</si>
  <si>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</si>
  <si>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</si>
  <si>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</si>
  <si>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</si>
  <si>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</si>
  <si>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</si>
  <si>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</si>
  <si>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</si>
  <si>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</si>
  <si>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</si>
  <si>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</si>
  <si>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</si>
  <si>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</si>
  <si>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</si>
  <si>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</si>
  <si>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</si>
  <si>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</si>
  <si>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</si>
  <si>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</si>
  <si>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</si>
  <si>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</si>
  <si>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</si>
  <si>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</si>
  <si>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</si>
  <si>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</si>
  <si>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</si>
  <si>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</si>
  <si>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</si>
  <si>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</si>
  <si>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</si>
  <si>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</si>
  <si>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</si>
  <si>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</si>
  <si>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</si>
  <si>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</si>
  <si>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</si>
  <si>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</si>
  <si>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</si>
  <si>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</si>
  <si>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</si>
  <si>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</si>
  <si>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</si>
  <si>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</si>
  <si>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</si>
  <si>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</si>
  <si>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</si>
  <si>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</si>
  <si>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</si>
  <si>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</si>
  <si>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</si>
  <si>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</si>
  <si>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</si>
  <si>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</si>
  <si>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</si>
  <si>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</si>
  <si>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</si>
  <si>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</si>
  <si>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</si>
  <si>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</si>
  <si>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</si>
  <si>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</si>
  <si>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</si>
  <si>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</si>
  <si>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</si>
  <si>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</si>
  <si>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</si>
  <si>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</si>
  <si>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</si>
  <si>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</si>
  <si>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</si>
  <si>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</si>
  <si>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</si>
  <si>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</si>
  <si>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</si>
  <si>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</si>
  <si>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</si>
  <si>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</si>
  <si>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</si>
  <si>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</si>
  <si>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</si>
  <si>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</si>
  <si>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</si>
  <si>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</si>
  <si>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</si>
  <si>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</si>
  <si>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</si>
  <si>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</si>
  <si>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</si>
  <si>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</si>
  <si>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</si>
  <si>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</si>
  <si>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</si>
  <si>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</si>
  <si>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</si>
  <si>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</si>
  <si>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</si>
  <si>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</si>
  <si>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</si>
  <si>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</si>
  <si>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</si>
  <si>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</si>
  <si>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</si>
  <si>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</si>
  <si>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</si>
  <si>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</si>
  <si>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</si>
  <si>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</si>
  <si>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</si>
  <si>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</si>
  <si>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</si>
  <si>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</si>
  <si>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</si>
  <si>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</si>
  <si>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</si>
  <si>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</si>
  <si>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</si>
  <si>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</si>
  <si>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</si>
  <si>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</si>
  <si>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</si>
  <si>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</si>
  <si>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</si>
  <si>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</si>
  <si>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</si>
  <si>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</si>
  <si>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</si>
  <si>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</si>
  <si>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</si>
  <si>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</si>
  <si>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</si>
  <si>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</si>
  <si>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</si>
  <si>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</si>
  <si>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</si>
  <si>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</si>
  <si>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</si>
  <si>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</si>
  <si>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</si>
  <si>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</si>
  <si>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</si>
  <si>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</si>
  <si>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</si>
  <si>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</si>
  <si>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</si>
  <si>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</si>
  <si>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</si>
  <si>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</si>
  <si>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</si>
  <si>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</si>
  <si>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</si>
  <si>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</si>
  <si>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</si>
  <si>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</si>
  <si>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</si>
  <si>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</si>
  <si>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</si>
  <si>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</si>
  <si>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</si>
  <si>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</si>
  <si>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</si>
  <si>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</si>
  <si>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</si>
  <si>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</si>
  <si>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</si>
  <si>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</si>
  <si>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</si>
  <si>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</si>
  <si>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</si>
  <si>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</si>
  <si>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</si>
  <si>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</si>
  <si>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</si>
  <si>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</si>
  <si>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</si>
  <si>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</si>
  <si>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</si>
  <si>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</si>
  <si>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</si>
  <si>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</si>
  <si>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</si>
  <si>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</si>
  <si>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</si>
  <si>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</si>
  <si>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</si>
  <si>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</si>
  <si>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</si>
  <si>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</si>
  <si>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</si>
  <si>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</si>
  <si>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</si>
  <si>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</si>
  <si>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</si>
  <si>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</si>
  <si>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</si>
  <si>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</si>
  <si>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</si>
  <si>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</si>
  <si>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</si>
  <si>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</si>
  <si>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</si>
  <si>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</si>
  <si>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</si>
  <si>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</si>
  <si>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</si>
  <si>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</si>
  <si>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</si>
  <si>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</si>
  <si>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</si>
  <si>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</si>
  <si>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</si>
  <si>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</si>
  <si>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</si>
  <si>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</si>
  <si>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</si>
  <si>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</si>
  <si>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</si>
  <si>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</si>
  <si>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</si>
  <si>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</si>
  <si>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</si>
  <si>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</si>
  <si>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</si>
  <si>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</si>
  <si>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</si>
  <si>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</si>
  <si>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</si>
  <si>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</si>
  <si>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</si>
  <si>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</si>
  <si>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</si>
  <si>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</si>
  <si>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</si>
  <si>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</si>
  <si>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</si>
  <si>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</si>
  <si>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</si>
  <si>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</si>
  <si>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</si>
  <si>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</si>
  <si>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</si>
  <si>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</si>
  <si>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</si>
  <si>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</si>
  <si>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</si>
  <si>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</si>
  <si>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</si>
  <si>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</si>
  <si>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</si>
  <si>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</si>
  <si>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</si>
  <si>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</si>
  <si>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</si>
  <si>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</si>
  <si>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</si>
  <si>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</si>
  <si>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</si>
  <si>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</si>
  <si>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</si>
  <si>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</si>
  <si>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</si>
  <si>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</si>
  <si>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</si>
  <si>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</si>
  <si>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</si>
  <si>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</si>
  <si>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</si>
  <si>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</si>
  <si>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</si>
  <si>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</si>
  <si>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</si>
  <si>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</si>
  <si>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</si>
  <si>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</si>
  <si>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</si>
  <si>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</si>
  <si>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</si>
  <si>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</si>
  <si>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</si>
  <si>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</si>
  <si>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</si>
  <si>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</si>
  <si>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</si>
  <si>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</si>
  <si>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</si>
  <si>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</si>
  <si>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</si>
  <si>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</si>
  <si>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</si>
  <si>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</si>
  <si>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</si>
  <si>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</si>
  <si>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</si>
  <si>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</si>
  <si>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</si>
  <si>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</si>
  <si>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</si>
  <si>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</si>
  <si>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</si>
  <si>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</si>
  <si>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</si>
  <si>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</si>
  <si>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</si>
  <si>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</si>
  <si>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</si>
  <si>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</si>
  <si>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</si>
  <si>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</si>
  <si>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</si>
  <si>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</si>
  <si>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</si>
  <si>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</si>
  <si>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</si>
  <si>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</si>
  <si>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</si>
  <si>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</si>
  <si>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</si>
  <si>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</si>
  <si>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</si>
  <si>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</si>
  <si>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</si>
  <si>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</si>
  <si>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</si>
  <si>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</si>
  <si>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</si>
  <si>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</si>
  <si>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</si>
  <si>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</si>
  <si>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</si>
  <si>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</si>
  <si>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</si>
  <si>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</si>
  <si>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</si>
  <si>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</si>
  <si>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</si>
  <si>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</si>
  <si>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</si>
  <si>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</si>
  <si>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</si>
  <si>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</si>
  <si>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</si>
  <si>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</si>
  <si>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</si>
  <si>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</si>
  <si>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</si>
  <si>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</si>
  <si>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</si>
  <si>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</si>
  <si>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</si>
  <si>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</si>
  <si>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</si>
  <si>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</si>
  <si>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</si>
  <si>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</si>
  <si>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</si>
  <si>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</si>
  <si>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</si>
  <si>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</si>
  <si>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</si>
  <si>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</si>
  <si>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</si>
  <si>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</si>
  <si>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</si>
  <si>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</si>
  <si>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</si>
  <si>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</si>
  <si>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</si>
  <si>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</si>
  <si>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</si>
  <si>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</si>
  <si>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</si>
  <si>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</si>
  <si>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</si>
  <si>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</si>
  <si>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</si>
  <si>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</si>
  <si>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</si>
  <si>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</si>
  <si>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</si>
  <si>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</si>
  <si>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</si>
  <si>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</si>
  <si>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</si>
  <si>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</si>
  <si>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</si>
  <si>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</si>
  <si>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</si>
  <si>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</si>
  <si>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</si>
  <si>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</si>
  <si>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</si>
  <si>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</si>
  <si>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</si>
  <si>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</si>
  <si>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</si>
  <si>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</si>
  <si>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</si>
  <si>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</si>
  <si>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</si>
  <si>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</si>
  <si>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</si>
  <si>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</si>
  <si>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</si>
  <si>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</si>
  <si>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</si>
  <si>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</si>
  <si>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</si>
  <si>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</si>
  <si>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</si>
  <si>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</si>
  <si>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</si>
  <si>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</si>
  <si>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</si>
  <si>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</si>
  <si>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</si>
  <si>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</si>
  <si>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</si>
  <si>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</si>
  <si>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</si>
  <si>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</si>
  <si>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</si>
  <si>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</si>
  <si>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</si>
  <si>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</si>
  <si>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</si>
  <si>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</si>
  <si>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</si>
  <si>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</si>
  <si>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</si>
  <si>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</si>
  <si>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</si>
  <si>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</si>
  <si>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</si>
  <si>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</si>
  <si>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</si>
  <si>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</si>
  <si>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</si>
  <si>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</si>
  <si>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</si>
  <si>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</si>
  <si>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</si>
  <si>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</si>
  <si>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</si>
  <si>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</si>
  <si>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</si>
  <si>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</si>
  <si>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</si>
  <si>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</si>
  <si>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</si>
  <si>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</si>
  <si>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</si>
  <si>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</si>
  <si>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</si>
  <si>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</si>
  <si>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</si>
  <si>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</si>
  <si>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</si>
  <si>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</si>
  <si>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</si>
  <si>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</si>
  <si>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</si>
  <si>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</si>
  <si>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</si>
  <si>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</si>
  <si>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</si>
  <si>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</si>
  <si>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</si>
  <si>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</si>
  <si>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</si>
  <si>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</si>
  <si>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</si>
  <si>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</si>
  <si>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</si>
  <si>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</si>
  <si>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</si>
  <si>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</si>
  <si>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</si>
  <si>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</si>
  <si>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</si>
  <si>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</si>
  <si>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</si>
  <si>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</si>
  <si>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</si>
  <si>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</si>
  <si>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</si>
  <si>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</si>
  <si>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</si>
  <si>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</si>
  <si>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</si>
  <si>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</si>
  <si>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</si>
  <si>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</si>
  <si>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</si>
  <si>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</si>
  <si>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</si>
  <si>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</si>
  <si>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</si>
  <si>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</si>
  <si>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</si>
  <si>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</si>
  <si>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</si>
  <si>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</si>
  <si>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</si>
  <si>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</si>
  <si>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</si>
  <si>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</si>
  <si>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</si>
  <si>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</si>
  <si>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</si>
  <si>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</si>
  <si>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</si>
  <si>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</si>
  <si>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</si>
  <si>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</si>
  <si>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</si>
  <si>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</si>
  <si>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</si>
  <si>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</si>
  <si>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</si>
  <si>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</si>
  <si>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</si>
  <si>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</si>
  <si>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</si>
  <si>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</si>
  <si>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</si>
  <si>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</si>
  <si>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</si>
  <si>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</si>
  <si>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</si>
  <si>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</si>
  <si>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</si>
  <si>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</si>
  <si>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</si>
  <si>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</si>
  <si>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</si>
  <si>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</si>
  <si>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</si>
  <si>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</si>
  <si>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</si>
  <si>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</si>
  <si>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</si>
  <si>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</si>
  <si>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</si>
  <si>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</si>
  <si>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</si>
  <si>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</si>
  <si>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</si>
  <si>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</si>
  <si>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</si>
  <si>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</si>
  <si>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</si>
  <si>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</si>
  <si>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</si>
  <si>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</si>
  <si>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</si>
  <si>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</si>
  <si>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</si>
  <si>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</si>
  <si>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</si>
  <si>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</si>
  <si>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</si>
  <si>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</si>
  <si>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</si>
  <si>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</si>
  <si>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</si>
  <si>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</si>
  <si>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</si>
  <si>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</si>
  <si>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</si>
  <si>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</si>
  <si>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</si>
  <si>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</si>
  <si>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</si>
  <si>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</si>
  <si>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</si>
  <si>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</si>
  <si>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</si>
  <si>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</si>
  <si>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</si>
  <si>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</si>
  <si>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</si>
  <si>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</si>
  <si>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</si>
  <si>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</si>
  <si>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</si>
  <si>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</si>
  <si>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</si>
  <si>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</si>
  <si>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</si>
  <si>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</si>
  <si>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</si>
  <si>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</si>
  <si>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</si>
  <si>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</si>
  <si>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</si>
  <si>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</si>
  <si>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</si>
  <si>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</si>
  <si>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</si>
  <si>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</si>
  <si>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</si>
  <si>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</si>
  <si>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</si>
  <si>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</si>
  <si>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</si>
  <si>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</si>
  <si>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</si>
  <si>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</si>
  <si>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</si>
  <si>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</si>
  <si>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</si>
  <si>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</si>
  <si>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</si>
  <si>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</si>
  <si>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</si>
  <si>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</si>
  <si>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</si>
  <si>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</si>
  <si>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</si>
  <si>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</si>
  <si>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</si>
  <si>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</si>
  <si>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</si>
  <si>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</si>
  <si>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</si>
  <si>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</si>
  <si>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</si>
  <si>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</si>
  <si>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</si>
  <si>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</si>
  <si>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</si>
  <si>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</si>
  <si>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</si>
  <si>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</si>
  <si>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</si>
  <si>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</si>
  <si>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</si>
  <si>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</si>
  <si>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</si>
  <si>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</si>
  <si>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</si>
  <si>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</si>
  <si>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</si>
  <si>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</si>
  <si>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</si>
  <si>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</si>
  <si>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</si>
  <si>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</si>
  <si>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</si>
  <si>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</si>
  <si>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</si>
  <si>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</si>
  <si>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</si>
  <si>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</si>
  <si>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</si>
  <si>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</si>
  <si>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</si>
  <si>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</si>
  <si>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</si>
  <si>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</si>
  <si>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</si>
  <si>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</si>
  <si>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</si>
  <si>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</si>
  <si>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</si>
  <si>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</si>
  <si>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</si>
  <si>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</si>
  <si>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</si>
  <si>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</si>
  <si>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</si>
  <si>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</si>
  <si>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</si>
  <si>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</si>
  <si>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</si>
  <si>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</si>
  <si>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</si>
  <si>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</si>
  <si>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</si>
  <si>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</si>
  <si>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</si>
  <si>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</si>
  <si>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</si>
  <si>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</si>
  <si>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</si>
  <si>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</si>
  <si>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</si>
  <si>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</si>
  <si>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</si>
  <si>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</si>
  <si>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</si>
  <si>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</si>
  <si>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</si>
  <si>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</si>
  <si>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</si>
  <si>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</si>
  <si>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</si>
  <si>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</si>
  <si>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</si>
  <si>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</si>
  <si>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</si>
  <si>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</si>
  <si>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</si>
  <si>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</si>
  <si>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</si>
  <si>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</si>
  <si>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</si>
  <si>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</si>
  <si>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</si>
  <si>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</si>
  <si>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</si>
  <si>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</si>
  <si>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</si>
  <si>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</si>
  <si>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</si>
  <si>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</si>
  <si>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</si>
  <si>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</si>
  <si>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</si>
  <si>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</si>
  <si>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</si>
  <si>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</si>
  <si>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</si>
  <si>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</si>
  <si>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</si>
  <si>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</si>
  <si>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</si>
  <si>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</si>
  <si>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</si>
  <si>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</si>
  <si>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</si>
  <si>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</si>
  <si>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</si>
  <si>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</si>
  <si>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</si>
  <si>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</si>
  <si>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</si>
  <si>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</si>
  <si>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</si>
  <si>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</si>
  <si>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</si>
  <si>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</si>
  <si>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</si>
  <si>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</si>
  <si>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</si>
  <si>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</si>
  <si>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</si>
  <si>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</si>
  <si>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</si>
  <si>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</si>
  <si>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</si>
  <si>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</si>
  <si>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</si>
  <si>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</si>
  <si>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</si>
  <si>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</si>
  <si>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</si>
  <si>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</si>
  <si>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</si>
  <si>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</si>
  <si>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</si>
  <si>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</si>
  <si>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</si>
  <si>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</si>
  <si>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</si>
  <si>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</si>
  <si>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</si>
  <si>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</si>
  <si>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</si>
  <si>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</si>
  <si>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</si>
  <si>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</si>
  <si>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</si>
  <si>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</si>
  <si>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</si>
  <si>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</si>
  <si>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</si>
  <si>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</si>
  <si>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</si>
  <si>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</si>
  <si>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</si>
  <si>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</si>
  <si>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</si>
  <si>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</si>
  <si>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</si>
  <si>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</si>
  <si>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</si>
  <si>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</si>
  <si>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</si>
  <si>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</si>
  <si>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</si>
  <si>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</si>
  <si>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</si>
  <si>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</si>
  <si>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</si>
  <si>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</si>
  <si>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</si>
  <si>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</si>
  <si>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</si>
  <si>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</si>
  <si>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</si>
  <si>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</si>
  <si>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</si>
  <si>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</si>
  <si>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</si>
  <si>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</si>
  <si>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</si>
  <si>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</si>
  <si>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</si>
  <si>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</si>
  <si>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</si>
  <si>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</si>
  <si>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</si>
  <si>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</si>
  <si>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</si>
  <si>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</si>
  <si>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</si>
  <si>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</si>
  <si>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</si>
  <si>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</si>
  <si>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</si>
  <si>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</si>
  <si>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</si>
  <si>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</si>
  <si>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</si>
  <si>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</si>
  <si>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</si>
  <si>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</si>
  <si>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</si>
  <si>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</si>
  <si>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</si>
  <si>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</si>
  <si>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</si>
  <si>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</si>
  <si>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</si>
  <si>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</si>
  <si>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</si>
  <si>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</si>
  <si>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</si>
  <si>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</si>
  <si>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</si>
  <si>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</si>
  <si>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</si>
  <si>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</si>
  <si>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</si>
  <si>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</si>
  <si>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</si>
  <si>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</si>
  <si>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</si>
  <si>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</si>
  <si>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</si>
  <si>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</si>
  <si>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</si>
  <si>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</si>
  <si>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</si>
  <si>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</si>
  <si>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</si>
  <si>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</si>
  <si>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</si>
  <si>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</si>
  <si>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</si>
  <si>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</si>
  <si>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</si>
  <si>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</si>
  <si>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</si>
  <si>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</si>
  <si>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</si>
  <si>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</si>
  <si>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</si>
  <si>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</si>
  <si>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</si>
  <si>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</si>
  <si>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</si>
  <si>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</si>
  <si>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</si>
  <si>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</si>
  <si>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</si>
  <si>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</si>
  <si>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</si>
  <si>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</si>
  <si>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</si>
  <si>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</si>
  <si>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</si>
  <si>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</si>
  <si>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</si>
  <si>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</si>
  <si>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</si>
  <si>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</si>
  <si>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</si>
  <si>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</si>
  <si>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</si>
  <si>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</si>
  <si>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</si>
  <si>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</si>
  <si>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</si>
  <si>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</si>
  <si>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</si>
  <si>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</si>
  <si>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</si>
  <si>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</si>
  <si>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</si>
  <si>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</si>
  <si>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</si>
  <si>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</si>
  <si>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</si>
  <si>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</si>
  <si>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</si>
  <si>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</si>
  <si>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</si>
  <si>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</si>
  <si>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</si>
  <si>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</si>
  <si>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</si>
  <si>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</si>
  <si>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</si>
  <si>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</si>
  <si>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</si>
  <si>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</si>
  <si>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</si>
  <si>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</si>
  <si>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</si>
  <si>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</si>
  <si>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</si>
  <si>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</si>
  <si>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</si>
  <si>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</si>
  <si>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</si>
  <si>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</si>
  <si>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</si>
  <si>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</si>
  <si>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</si>
  <si>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</si>
  <si>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</si>
  <si>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</si>
  <si>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</si>
  <si>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</si>
  <si>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</si>
  <si>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</si>
  <si>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</si>
  <si>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</si>
  <si>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</si>
  <si>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</si>
  <si>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</si>
  <si>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</si>
  <si>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</si>
  <si>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</si>
  <si>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</si>
  <si>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</si>
  <si>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</si>
  <si>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</si>
  <si>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</si>
  <si>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</si>
  <si>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</si>
  <si>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</si>
  <si>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</si>
  <si>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</si>
  <si>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</si>
  <si>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</si>
  <si>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</si>
  <si>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</si>
  <si>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</si>
  <si>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</si>
  <si>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</si>
  <si>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</si>
  <si>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</si>
  <si>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</si>
  <si>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</si>
  <si>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</si>
  <si>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</si>
  <si>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</si>
  <si>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</si>
  <si>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</si>
  <si>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</si>
  <si>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</si>
  <si>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</si>
  <si>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</si>
  <si>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</si>
  <si>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</si>
  <si>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</si>
  <si>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</si>
  <si>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</si>
  <si>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</si>
  <si>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</si>
  <si>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</si>
  <si>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</si>
  <si>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</si>
  <si>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</si>
  <si>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</si>
  <si>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</si>
  <si>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</si>
  <si>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</si>
  <si>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</si>
  <si>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</si>
  <si>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</si>
  <si>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</si>
  <si>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</si>
  <si>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</si>
  <si>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</si>
  <si>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</si>
  <si>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</si>
  <si>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</si>
  <si>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</si>
  <si>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</si>
  <si>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</si>
  <si>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</si>
  <si>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</si>
  <si>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</si>
  <si>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</si>
  <si>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</si>
  <si>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</si>
  <si>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</si>
  <si>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</si>
  <si>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</si>
  <si>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</si>
  <si>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</si>
  <si>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</si>
  <si>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</si>
  <si>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</si>
  <si>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</si>
  <si>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</si>
  <si>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</si>
  <si>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</si>
  <si>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</si>
  <si>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</si>
  <si>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</si>
  <si>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</si>
  <si>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</si>
  <si>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</si>
  <si>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</si>
  <si>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</si>
  <si>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</si>
  <si>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</si>
  <si>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</si>
  <si>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</si>
  <si>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</si>
  <si>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</si>
  <si>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</si>
  <si>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</si>
  <si>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</si>
  <si>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</si>
  <si>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</si>
  <si>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</si>
  <si>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</si>
  <si>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</si>
  <si>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</si>
  <si>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</si>
  <si>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</si>
  <si>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</si>
  <si>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</si>
  <si>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</si>
  <si>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</si>
  <si>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</si>
  <si>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</si>
  <si>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</si>
  <si>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</si>
  <si>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</si>
  <si>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</si>
  <si>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</si>
  <si>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</si>
  <si>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</si>
  <si>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</si>
  <si>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</si>
  <si>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</si>
  <si>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</si>
  <si>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</si>
  <si>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</si>
  <si>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</si>
  <si>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</si>
  <si>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</si>
  <si>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</si>
  <si>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</si>
  <si>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</si>
  <si>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</si>
  <si>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</si>
  <si>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</si>
  <si>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</si>
  <si>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</si>
  <si>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</si>
  <si>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</si>
  <si>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</si>
  <si>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</si>
  <si>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</si>
  <si>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</si>
  <si>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</si>
  <si>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</si>
  <si>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</si>
  <si>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</si>
  <si>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</si>
  <si>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</si>
  <si>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</si>
  <si>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</si>
  <si>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</si>
  <si>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</si>
  <si>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</si>
  <si>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</si>
  <si>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</si>
  <si>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</si>
  <si>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</si>
  <si>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</si>
  <si>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</si>
  <si>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</si>
  <si>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</si>
  <si>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</si>
  <si>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</si>
  <si>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</si>
  <si>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</si>
  <si>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</si>
  <si>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</si>
  <si>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</si>
  <si>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</si>
  <si>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</si>
  <si>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</si>
  <si>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</si>
  <si>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</si>
  <si>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</si>
  <si>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</si>
  <si>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</si>
  <si>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</si>
  <si>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</si>
  <si>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</si>
  <si>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</si>
  <si>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</si>
  <si>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</si>
  <si>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</si>
  <si>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</si>
  <si>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</si>
  <si>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</si>
  <si>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</si>
  <si>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</si>
  <si>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</si>
  <si>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</si>
  <si>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</si>
  <si>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</si>
  <si>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</si>
  <si>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</si>
  <si>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</si>
  <si>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</si>
  <si>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</si>
  <si>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</si>
  <si>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</si>
  <si>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</si>
  <si>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</si>
  <si>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</si>
  <si>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</si>
  <si>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</si>
  <si>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</si>
  <si>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</si>
  <si>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</si>
  <si>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</si>
  <si>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</si>
  <si>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</si>
  <si>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</si>
  <si>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</si>
  <si>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</si>
  <si>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</si>
  <si>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</si>
  <si>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</si>
  <si>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</si>
  <si>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</si>
  <si>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</si>
  <si>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</si>
  <si>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</si>
  <si>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</si>
  <si>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</si>
  <si>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</si>
  <si>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</si>
  <si>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</si>
  <si>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</si>
  <si>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</si>
  <si>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</si>
  <si>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</si>
  <si>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</si>
  <si>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</si>
  <si>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</si>
  <si>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</si>
  <si>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</si>
  <si>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</si>
  <si>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</si>
  <si>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</si>
  <si>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</si>
  <si>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</si>
  <si>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</si>
  <si>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</si>
  <si>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</si>
  <si>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</si>
  <si>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</si>
  <si>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</si>
  <si>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</si>
  <si>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</si>
  <si>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</si>
  <si>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</si>
  <si>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</si>
  <si>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</si>
  <si>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</si>
  <si>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</si>
  <si>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</si>
  <si>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</si>
  <si>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</si>
  <si>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</si>
  <si>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</si>
  <si>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</si>
  <si>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</si>
  <si>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</si>
  <si>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</si>
  <si>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</si>
  <si>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</si>
  <si>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</si>
  <si>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</si>
  <si>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</si>
  <si>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</si>
  <si>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</si>
  <si>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</si>
  <si>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</si>
  <si>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</si>
  <si>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</si>
  <si>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</si>
  <si>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</si>
  <si>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</si>
  <si>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</si>
  <si>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</si>
  <si>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</si>
  <si>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</si>
  <si>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</si>
  <si>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</si>
  <si>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</si>
  <si>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</si>
  <si>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</si>
  <si>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</si>
  <si>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</si>
  <si>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</si>
  <si>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</si>
  <si>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</si>
  <si>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</si>
  <si>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</si>
  <si>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</si>
  <si>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</si>
  <si>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</si>
  <si>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</si>
  <si>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</si>
  <si>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</si>
  <si>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</si>
  <si>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</si>
  <si>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</si>
  <si>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</si>
  <si>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</si>
  <si>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</si>
  <si>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</si>
  <si>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</si>
  <si>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</si>
  <si>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</si>
  <si>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</si>
  <si>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</si>
  <si>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</si>
  <si>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</si>
  <si>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</si>
  <si>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</si>
  <si>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</si>
  <si>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</si>
  <si>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</si>
  <si>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</si>
  <si>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</si>
  <si>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</si>
  <si>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</si>
  <si>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</si>
  <si>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</si>
  <si>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</si>
  <si>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</si>
  <si>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</si>
  <si>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</si>
  <si>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</si>
  <si>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</si>
  <si>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</si>
  <si>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</si>
  <si>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</si>
  <si>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</si>
  <si>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</si>
  <si>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</si>
  <si>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</si>
  <si>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</si>
  <si>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</si>
  <si>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</si>
  <si>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</si>
  <si>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</si>
  <si>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</si>
  <si>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</si>
  <si>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</si>
  <si>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</si>
  <si>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</si>
  <si>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</si>
  <si>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</si>
  <si>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</si>
  <si>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</si>
  <si>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</si>
  <si>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</si>
  <si>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</si>
  <si>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</si>
  <si>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</si>
  <si>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</si>
  <si>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</si>
  <si>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</si>
  <si>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</si>
  <si>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</si>
  <si>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</si>
  <si>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</si>
  <si>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</si>
  <si>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</si>
  <si>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</si>
  <si>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</si>
  <si>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</si>
  <si>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</si>
  <si>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</si>
  <si>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</si>
  <si>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</si>
  <si>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</si>
  <si>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</si>
  <si>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</si>
  <si>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</si>
  <si>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</si>
  <si>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</si>
  <si>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</si>
  <si>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</si>
  <si>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</si>
  <si>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</si>
  <si>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</si>
  <si>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</si>
  <si>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</si>
  <si>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</si>
  <si>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</si>
  <si>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</si>
  <si>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</si>
  <si>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</si>
  <si>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</si>
  <si>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</si>
  <si>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</si>
  <si>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</si>
  <si>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</si>
  <si>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</si>
  <si>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</si>
  <si>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</si>
  <si>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</si>
  <si>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</si>
  <si>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</si>
  <si>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</si>
  <si>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</si>
  <si>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</si>
  <si>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</si>
  <si>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</si>
  <si>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</si>
  <si>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</si>
  <si>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</si>
  <si>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</si>
  <si>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</si>
  <si>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</si>
  <si>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</si>
  <si>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</si>
  <si>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</si>
  <si>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</si>
  <si>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</si>
  <si>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</si>
  <si>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</si>
  <si>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</si>
  <si>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</si>
  <si>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</si>
  <si>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</si>
  <si>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</si>
  <si>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</si>
  <si>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</si>
  <si>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</si>
  <si>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</si>
  <si>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</si>
  <si>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</si>
  <si>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</si>
  <si>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</si>
  <si>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</si>
  <si>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</si>
  <si>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</si>
  <si>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</si>
  <si>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</si>
  <si>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</si>
  <si>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</si>
  <si>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</si>
  <si>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</si>
  <si>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</si>
  <si>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</si>
  <si>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</si>
  <si>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</si>
  <si>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</si>
  <si>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</si>
  <si>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</si>
  <si>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</si>
  <si>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</si>
  <si>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</si>
  <si>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</si>
  <si>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</si>
  <si>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</si>
  <si>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</si>
  <si>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</si>
  <si>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</si>
  <si>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</si>
  <si>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</si>
  <si>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</si>
  <si>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</si>
  <si>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</si>
  <si>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</si>
  <si>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</si>
  <si>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</si>
  <si>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</si>
  <si>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</si>
  <si>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</si>
  <si>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</si>
  <si>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</si>
  <si>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</si>
  <si>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</si>
  <si>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</si>
  <si>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</si>
  <si>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</si>
  <si>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</si>
  <si>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</si>
  <si>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</si>
  <si>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</si>
  <si>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</si>
  <si>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</si>
  <si>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</si>
  <si>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</si>
  <si>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</si>
  <si>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</si>
  <si>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</si>
  <si>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</si>
  <si>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</si>
  <si>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</si>
  <si>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</si>
  <si>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</si>
  <si>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</si>
  <si>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</si>
  <si>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</si>
  <si>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</si>
  <si>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</si>
  <si>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</si>
  <si>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</si>
  <si>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</si>
  <si>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</si>
  <si>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</si>
  <si>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</si>
  <si>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</si>
  <si>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</si>
  <si>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</si>
  <si>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</si>
  <si>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</si>
  <si>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</si>
  <si>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</si>
  <si>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</si>
  <si>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</si>
  <si>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</si>
  <si>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</si>
  <si>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</si>
  <si>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</si>
  <si>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</si>
  <si>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</si>
  <si>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</si>
  <si>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</si>
  <si>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</si>
  <si>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</si>
  <si>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</si>
  <si>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</si>
  <si>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</si>
  <si>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</si>
  <si>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</si>
  <si>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</si>
  <si>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</si>
  <si>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</si>
  <si>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</si>
  <si>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</si>
  <si>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</si>
  <si>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</si>
  <si>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</si>
  <si>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</si>
  <si>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</si>
  <si>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</si>
  <si>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</si>
  <si>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</si>
  <si>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</si>
  <si>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</si>
  <si>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</si>
  <si>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</si>
  <si>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</si>
  <si>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</si>
  <si>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</si>
  <si>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</si>
  <si>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</si>
  <si>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</si>
  <si>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</si>
  <si>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</si>
  <si>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</si>
  <si>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</si>
  <si>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</si>
  <si>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</si>
  <si>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</si>
  <si>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</si>
  <si>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</si>
  <si>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</si>
  <si>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</si>
  <si>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</si>
  <si>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</si>
  <si>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</si>
  <si>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</si>
  <si>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</si>
  <si>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</si>
  <si>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</si>
  <si>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</si>
  <si>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</si>
  <si>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</si>
  <si>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</si>
  <si>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</si>
  <si>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</si>
  <si>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</si>
  <si>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</si>
  <si>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</si>
  <si>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</si>
  <si>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</si>
  <si>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</si>
  <si>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</si>
  <si>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</si>
  <si>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</si>
  <si>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</si>
  <si>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</si>
  <si>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</si>
  <si>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</si>
  <si>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</si>
  <si>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</si>
  <si>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</si>
  <si>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</si>
  <si>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</si>
  <si>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</si>
  <si>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</si>
  <si>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</si>
  <si>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</si>
  <si>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</si>
  <si>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</si>
  <si>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</si>
  <si>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</si>
  <si>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</si>
  <si>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</si>
  <si>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</si>
  <si>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</si>
  <si>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</si>
  <si>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</si>
  <si>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</si>
  <si>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</si>
  <si>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</si>
  <si>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</si>
  <si>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</si>
  <si>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</si>
  <si>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</si>
  <si>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</si>
  <si>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</si>
  <si>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</si>
  <si>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</si>
  <si>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</si>
  <si>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</si>
  <si>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</si>
  <si>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</si>
  <si>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</si>
  <si>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</si>
  <si>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</si>
  <si>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</si>
  <si>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</si>
  <si>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</si>
  <si>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</si>
  <si>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</si>
  <si>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</si>
  <si>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</si>
  <si>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</si>
  <si>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</si>
  <si>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</si>
  <si>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</si>
  <si>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</si>
  <si>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</si>
  <si>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</si>
  <si>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</si>
  <si>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</si>
  <si>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</si>
  <si>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</si>
  <si>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</si>
  <si>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</si>
  <si>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</si>
  <si>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</si>
  <si>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</si>
  <si>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</si>
  <si>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</si>
  <si>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</si>
  <si>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</si>
  <si>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</si>
  <si>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</si>
  <si>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</si>
  <si>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</si>
  <si>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</si>
  <si>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</si>
  <si>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</si>
  <si>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</si>
  <si>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</si>
  <si>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</si>
  <si>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</si>
  <si>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</si>
  <si>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</si>
  <si>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</si>
  <si>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</si>
  <si>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</si>
  <si>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</si>
  <si>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</si>
  <si>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</si>
  <si>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</si>
  <si>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</si>
  <si>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</si>
  <si>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</si>
  <si>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</si>
  <si>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</si>
  <si>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</si>
  <si>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</si>
  <si>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</si>
  <si>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</si>
  <si>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</si>
  <si>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</si>
  <si>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</si>
  <si>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</si>
  <si>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</si>
  <si>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</si>
  <si>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</si>
  <si>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</si>
  <si>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</si>
  <si>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</si>
  <si>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</si>
  <si>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</si>
  <si>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</si>
  <si>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</si>
  <si>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</si>
  <si>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</si>
  <si>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</si>
  <si>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</si>
  <si>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</si>
  <si>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</si>
  <si>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</si>
  <si>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</si>
  <si>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</si>
  <si>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</si>
  <si>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</si>
  <si>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</si>
  <si>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</si>
  <si>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</si>
  <si>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</si>
  <si>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</si>
  <si>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</si>
  <si>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</si>
  <si>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</si>
  <si>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</si>
  <si>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</si>
  <si>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</si>
  <si>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</si>
  <si>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</si>
  <si>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</si>
  <si>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</si>
  <si>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</si>
  <si>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</si>
  <si>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</si>
  <si>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</si>
  <si>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</si>
  <si>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</si>
  <si>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</si>
  <si>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</si>
  <si>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</si>
  <si>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</si>
  <si>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</si>
  <si>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</si>
  <si>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</si>
  <si>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</si>
  <si>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</si>
  <si>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</si>
  <si>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</si>
  <si>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</si>
  <si>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</si>
  <si>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</si>
  <si>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</si>
  <si>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</si>
  <si>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</si>
  <si>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</si>
  <si>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</si>
  <si>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</si>
  <si>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</si>
  <si>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</si>
  <si>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</si>
  <si>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</si>
  <si>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</si>
  <si>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</si>
  <si>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</si>
  <si>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</si>
  <si>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</si>
  <si>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</si>
  <si>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</si>
  <si>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</si>
  <si>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</si>
  <si>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</si>
  <si>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</si>
  <si>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</si>
  <si>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</si>
  <si>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</si>
  <si>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</si>
  <si>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</si>
  <si>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</si>
  <si>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</si>
  <si>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</si>
  <si>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</si>
  <si>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</si>
  <si>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</si>
  <si>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</si>
  <si>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</si>
  <si>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</si>
  <si>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</si>
  <si>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</si>
  <si>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</si>
  <si>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</si>
  <si>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</si>
  <si>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</si>
  <si>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</si>
  <si>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</si>
  <si>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</si>
  <si>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</si>
  <si>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</si>
  <si>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</si>
  <si>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</si>
  <si>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</si>
  <si>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</si>
  <si>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</si>
  <si>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</si>
  <si>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</si>
  <si>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</si>
  <si>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</si>
  <si>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</si>
  <si>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</si>
  <si>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</si>
  <si>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</si>
  <si>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</si>
  <si>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</si>
  <si>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</si>
  <si>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</si>
  <si>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</si>
  <si>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</si>
  <si>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</si>
  <si>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</si>
  <si>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</si>
  <si>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</si>
  <si>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</si>
  <si>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</si>
  <si>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</si>
  <si>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</si>
  <si>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</si>
  <si>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</si>
  <si>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</si>
  <si>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</si>
  <si>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</si>
  <si>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</si>
  <si>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</si>
  <si>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</si>
  <si>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</si>
  <si>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</si>
  <si>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</si>
  <si>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</si>
  <si>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</si>
  <si>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</si>
  <si>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</si>
  <si>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</si>
  <si>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</si>
  <si>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</si>
  <si>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</si>
  <si>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</si>
  <si>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</si>
  <si>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</si>
  <si>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</si>
  <si>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</si>
  <si>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</si>
  <si>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</si>
  <si>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</si>
  <si>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</si>
  <si>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</si>
  <si>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</si>
  <si>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</si>
  <si>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</si>
  <si>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</si>
  <si>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</si>
  <si>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</si>
  <si>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</si>
  <si>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</si>
  <si>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</si>
  <si>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</si>
  <si>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</si>
  <si>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</si>
  <si>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</si>
  <si>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</si>
  <si>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</si>
  <si>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</si>
  <si>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</si>
  <si>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</si>
  <si>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</si>
  <si>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</si>
  <si>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</si>
  <si>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</si>
  <si>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</si>
  <si>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</si>
  <si>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</si>
  <si>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</si>
  <si>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</si>
  <si>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</si>
  <si>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</si>
  <si>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</si>
  <si>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</si>
  <si>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</si>
  <si>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</si>
  <si>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</si>
  <si>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</si>
  <si>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</si>
  <si>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</si>
  <si>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</si>
  <si>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</si>
  <si>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</si>
  <si>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</si>
  <si>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</si>
  <si>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</si>
  <si>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</si>
  <si>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</si>
  <si>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</si>
  <si>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</si>
  <si>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</si>
  <si>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</si>
  <si>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</si>
  <si>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</si>
  <si>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</si>
  <si>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</si>
  <si>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</si>
  <si>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</si>
  <si>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</si>
  <si>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</si>
  <si>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</si>
  <si>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</si>
  <si>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</si>
  <si>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</si>
  <si>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</si>
  <si>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</si>
  <si>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</si>
  <si>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</si>
  <si>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</si>
  <si>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</si>
  <si>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</si>
  <si>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</si>
  <si>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</si>
  <si>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</si>
  <si>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</si>
  <si>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</si>
  <si>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</si>
  <si>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</si>
  <si>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</si>
  <si>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</si>
  <si>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</si>
  <si>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</si>
  <si>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</si>
  <si>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</si>
  <si>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</si>
  <si>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</si>
  <si>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</si>
  <si>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</si>
  <si>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</si>
  <si>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</si>
  <si>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</si>
  <si>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</si>
  <si>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</si>
  <si>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</si>
  <si>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</si>
  <si>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</si>
  <si>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</si>
  <si>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</si>
  <si>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</si>
  <si>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</si>
  <si>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</si>
  <si>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</si>
  <si>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</si>
  <si>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</si>
  <si>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</si>
  <si>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</si>
  <si>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</si>
  <si>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</si>
  <si>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</si>
  <si>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</si>
  <si>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</si>
  <si>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</si>
  <si>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</si>
  <si>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</si>
  <si>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</si>
  <si>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</si>
  <si>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</si>
  <si>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</si>
  <si>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</si>
  <si>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</si>
  <si>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</si>
  <si>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</si>
  <si>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</si>
  <si>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</si>
  <si>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</si>
  <si>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</si>
  <si>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</si>
  <si>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</si>
  <si>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</si>
  <si>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</si>
  <si>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</si>
  <si>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</si>
  <si>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</si>
  <si>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</si>
  <si>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</si>
  <si>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</si>
  <si>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</si>
  <si>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</si>
  <si>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</si>
  <si>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</si>
  <si>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</si>
  <si>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</si>
  <si>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</si>
  <si>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</si>
  <si>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</si>
  <si>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</si>
  <si>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</si>
  <si>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</si>
  <si>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</si>
  <si>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</si>
  <si>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</si>
  <si>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</si>
  <si>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</si>
  <si>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</si>
  <si>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</si>
  <si>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</si>
  <si>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</si>
  <si>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</si>
  <si>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</si>
  <si>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</si>
  <si>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</si>
  <si>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</si>
  <si>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</si>
  <si>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</si>
  <si>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</si>
  <si>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</si>
  <si>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</si>
  <si>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</si>
  <si>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</si>
  <si>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</si>
  <si>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</si>
  <si>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</si>
  <si>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</si>
  <si>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</si>
  <si>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</si>
  <si>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</si>
  <si>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</si>
  <si>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</si>
  <si>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</si>
  <si>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</si>
  <si>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</si>
  <si>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</si>
  <si>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</si>
  <si>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</si>
  <si>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</si>
  <si>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</si>
  <si>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</si>
  <si>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</si>
  <si>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</si>
  <si>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</si>
  <si>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</si>
  <si>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</si>
  <si>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</si>
  <si>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</si>
  <si>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</si>
  <si>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</si>
  <si>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</si>
  <si>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</si>
  <si>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</si>
  <si>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</si>
  <si>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</si>
  <si>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</si>
  <si>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</si>
  <si>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</si>
  <si>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</si>
  <si>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</si>
  <si>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</si>
  <si>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</si>
  <si>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</si>
  <si>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</si>
  <si>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</si>
  <si>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</si>
  <si>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</si>
  <si>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</si>
  <si>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</si>
  <si>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</si>
  <si>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</si>
  <si>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</si>
  <si>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</si>
  <si>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</si>
  <si>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</si>
  <si>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</si>
  <si>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</si>
  <si>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</si>
  <si>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</si>
  <si>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</si>
  <si>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</si>
  <si>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</si>
  <si>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</si>
  <si>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</si>
  <si>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</si>
  <si>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</si>
  <si>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</si>
  <si>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</si>
  <si>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</si>
  <si>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</si>
  <si>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</si>
  <si>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</si>
  <si>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</si>
  <si>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</si>
  <si>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</si>
  <si>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</si>
  <si>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</si>
  <si>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</si>
  <si>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</si>
  <si>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</si>
  <si>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</si>
  <si>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</si>
  <si>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</si>
  <si>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</si>
  <si>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</si>
  <si>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</si>
  <si>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</si>
  <si>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</si>
  <si>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</si>
  <si>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</si>
  <si>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</si>
  <si>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</si>
  <si>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</si>
  <si>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</si>
  <si>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</si>
  <si>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</si>
  <si>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</si>
  <si>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</si>
  <si>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</si>
  <si>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</si>
  <si>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</si>
  <si>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</si>
  <si>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</si>
  <si>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</si>
  <si>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</si>
  <si>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</si>
  <si>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</si>
  <si>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</si>
  <si>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</si>
  <si>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</si>
  <si>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</si>
  <si>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</si>
  <si>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</si>
  <si>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</si>
  <si>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</si>
  <si>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</si>
  <si>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</si>
  <si>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</si>
  <si>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</si>
  <si>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</si>
  <si>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</si>
  <si>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</si>
  <si>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</si>
  <si>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</si>
  <si>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</si>
  <si>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</si>
  <si>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</si>
  <si>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</si>
  <si>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</si>
  <si>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</si>
  <si>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</si>
  <si>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</si>
  <si>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</si>
  <si>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</si>
  <si>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</si>
  <si>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</si>
  <si>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</si>
  <si>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</si>
  <si>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</si>
  <si>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</si>
  <si>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</si>
  <si>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</si>
  <si>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</si>
  <si>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</si>
  <si>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</si>
  <si>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</si>
  <si>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</si>
  <si>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</si>
  <si>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</si>
  <si>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</si>
  <si>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</si>
  <si>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</si>
  <si>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</si>
  <si>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</si>
  <si>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</si>
  <si>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</si>
  <si>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</si>
  <si>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</si>
  <si>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</si>
  <si>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</si>
  <si>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</si>
  <si>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</si>
  <si>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</si>
  <si>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</si>
  <si>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</si>
  <si>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</si>
  <si>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</si>
  <si>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</si>
  <si>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</si>
  <si>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</si>
  <si>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</si>
  <si>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</si>
  <si>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</si>
  <si>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</si>
  <si>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</si>
  <si>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</si>
  <si>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</si>
  <si>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</si>
  <si>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</si>
  <si>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</si>
  <si>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</si>
  <si>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</si>
  <si>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</si>
  <si>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</si>
  <si>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</si>
  <si>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</si>
  <si>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</si>
  <si>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</si>
  <si>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</si>
  <si>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</si>
  <si>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</si>
  <si>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</si>
  <si>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</si>
  <si>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</si>
  <si>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</si>
  <si>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</si>
  <si>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</si>
  <si>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</si>
  <si>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</si>
  <si>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</si>
  <si>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</si>
  <si>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</si>
  <si>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</si>
  <si>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</si>
  <si>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</si>
  <si>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</si>
  <si>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</si>
  <si>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</si>
  <si>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</si>
  <si>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</si>
  <si>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</si>
  <si>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</si>
  <si>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</si>
  <si>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</si>
  <si>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</si>
  <si>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</si>
  <si>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</si>
  <si>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</si>
  <si>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</si>
  <si>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</si>
  <si>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</si>
  <si>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</si>
  <si>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</si>
  <si>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</si>
  <si>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</si>
  <si>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</si>
  <si>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</si>
  <si>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</si>
  <si>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</si>
  <si>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</si>
  <si>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</si>
  <si>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</si>
  <si>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</si>
  <si>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</si>
  <si>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</si>
  <si>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</si>
  <si>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</si>
  <si>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</si>
  <si>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</si>
  <si>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</si>
  <si>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</si>
  <si>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</si>
  <si>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</si>
  <si>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</si>
  <si>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</si>
  <si>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</si>
  <si>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</si>
  <si>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</si>
  <si>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</si>
  <si>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</si>
  <si>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</si>
  <si>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</si>
  <si>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</si>
  <si>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</si>
  <si>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</si>
  <si>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</si>
  <si>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</si>
  <si>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</si>
  <si>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</si>
  <si>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</si>
  <si>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</si>
  <si>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</si>
  <si>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</si>
  <si>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</si>
  <si>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</si>
  <si>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</si>
  <si>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</si>
  <si>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</si>
  <si>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</si>
  <si>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</si>
  <si>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</si>
  <si>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</si>
  <si>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</si>
  <si>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</si>
  <si>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</si>
  <si>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</si>
  <si>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</si>
  <si>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</si>
  <si>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</si>
  <si>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</si>
  <si>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</si>
  <si>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</si>
  <si>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</si>
  <si>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</si>
  <si>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</si>
  <si>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</si>
  <si>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</si>
  <si>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</si>
  <si>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</si>
  <si>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</si>
  <si>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</si>
  <si>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</si>
  <si>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</si>
  <si>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</si>
  <si>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</si>
  <si>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</si>
  <si>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</si>
  <si>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</si>
  <si>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</si>
  <si>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</si>
  <si>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</si>
  <si>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</si>
  <si>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</si>
  <si>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</si>
  <si>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</si>
  <si>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</si>
  <si>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</si>
  <si>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</si>
  <si>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</si>
  <si>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</si>
  <si>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</si>
  <si>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</si>
  <si>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</si>
  <si>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</si>
  <si>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</si>
  <si>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</si>
  <si>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</si>
  <si>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</si>
  <si>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</si>
  <si>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</si>
  <si>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</si>
  <si>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</si>
  <si>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</si>
  <si>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</si>
  <si>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</si>
  <si>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</si>
  <si>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</si>
  <si>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</si>
  <si>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</si>
  <si>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</si>
  <si>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</si>
  <si>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</si>
  <si>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</si>
  <si>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</si>
  <si>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</si>
  <si>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</si>
  <si>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</si>
  <si>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</si>
  <si>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</si>
  <si>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</si>
  <si>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</si>
  <si>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</si>
  <si>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</si>
  <si>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</si>
  <si>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</si>
  <si>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</si>
  <si>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</si>
  <si>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</si>
  <si>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</si>
  <si>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</si>
  <si>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</si>
  <si>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</si>
  <si>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</si>
  <si>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</si>
  <si>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</si>
  <si>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</si>
  <si>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</si>
  <si>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</si>
  <si>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</si>
  <si>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</si>
  <si>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</si>
  <si>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</si>
  <si>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</si>
  <si>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</si>
  <si>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</si>
  <si>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</si>
  <si>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</si>
  <si>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</si>
  <si>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</si>
  <si>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</si>
  <si>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</si>
  <si>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</si>
  <si>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</si>
  <si>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</si>
  <si>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</si>
  <si>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</si>
  <si>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</si>
  <si>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</si>
  <si>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</si>
  <si>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</si>
  <si>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</si>
  <si>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</si>
  <si>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</si>
  <si>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</si>
  <si>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</si>
  <si>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</si>
  <si>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</si>
  <si>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</si>
  <si>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</si>
  <si>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</si>
  <si>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</si>
  <si>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</si>
  <si>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</si>
  <si>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</si>
  <si>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</si>
  <si>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</si>
  <si>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</si>
  <si>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</si>
  <si>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</si>
  <si>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</si>
  <si>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</si>
  <si>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</si>
  <si>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</si>
  <si>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</si>
  <si>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</si>
  <si>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</si>
  <si>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</si>
  <si>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</si>
  <si>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</si>
  <si>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</si>
  <si>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</si>
  <si>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</si>
  <si>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</si>
  <si>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</si>
  <si>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</si>
  <si>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</si>
  <si>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</si>
  <si>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</si>
  <si>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</si>
  <si>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</si>
  <si>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</si>
  <si>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</si>
  <si>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</si>
  <si>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</si>
  <si>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</si>
  <si>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</si>
  <si>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</si>
  <si>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</si>
  <si>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</si>
  <si>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</si>
  <si>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</si>
  <si>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</si>
  <si>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</si>
  <si>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</si>
  <si>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</si>
  <si>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</si>
  <si>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</si>
  <si>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</si>
  <si>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</si>
  <si>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</si>
  <si>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</si>
  <si>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</si>
  <si>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</si>
  <si>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</si>
  <si>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</si>
  <si>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</si>
  <si>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</si>
  <si>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</si>
  <si>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</si>
  <si>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</si>
  <si>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</si>
  <si>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</si>
  <si>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</si>
  <si>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</si>
  <si>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</si>
  <si>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</si>
  <si>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</si>
  <si>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</si>
  <si>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</si>
  <si>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</si>
  <si>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</si>
  <si>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</si>
  <si>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</si>
  <si>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</si>
  <si>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</si>
  <si>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</si>
  <si>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</si>
  <si>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</si>
  <si>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</si>
  <si>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</si>
  <si>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</si>
  <si>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</si>
  <si>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</si>
  <si>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</si>
  <si>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</si>
  <si>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</si>
  <si>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</si>
  <si>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</si>
  <si>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</si>
  <si>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</si>
  <si>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</si>
  <si>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</si>
  <si>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</si>
  <si>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</si>
  <si>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</si>
  <si>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</si>
  <si>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</si>
  <si>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</si>
  <si>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</si>
  <si>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</si>
  <si>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</si>
  <si>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</si>
  <si>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</si>
  <si>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</si>
  <si>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</si>
  <si>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</si>
  <si>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</si>
  <si>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</si>
  <si>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</si>
  <si>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</si>
  <si>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</si>
  <si>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</si>
  <si>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</si>
  <si>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</si>
  <si>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</si>
  <si>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</si>
  <si>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</si>
  <si>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</si>
  <si>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</si>
  <si>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</si>
  <si>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</si>
  <si>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</si>
  <si>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</si>
  <si>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</si>
  <si>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</si>
  <si>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</si>
  <si>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</si>
  <si>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</si>
  <si>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</si>
  <si>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</si>
  <si>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</si>
  <si>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</si>
  <si>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</si>
  <si>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</si>
  <si>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</si>
  <si>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</si>
  <si>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</si>
  <si>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</si>
  <si>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</si>
  <si>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</si>
  <si>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</si>
  <si>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</si>
  <si>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</si>
  <si>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</si>
  <si>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</si>
  <si>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</si>
  <si>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</si>
  <si>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</si>
  <si>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</si>
  <si>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</si>
  <si>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</si>
  <si>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</si>
  <si>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</si>
  <si>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</si>
  <si>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</si>
  <si>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</si>
  <si>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</si>
  <si>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</si>
  <si>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</si>
  <si>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</si>
  <si>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</si>
  <si>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</si>
  <si>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</si>
  <si>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</si>
  <si>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</si>
  <si>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</si>
  <si>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</si>
  <si>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</si>
  <si>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</si>
  <si>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</si>
  <si>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</si>
  <si>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</si>
  <si>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</si>
  <si>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</si>
  <si>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</si>
  <si>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</si>
  <si>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</si>
  <si>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</si>
  <si>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</si>
  <si>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</si>
  <si>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</si>
  <si>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</si>
  <si>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</si>
  <si>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</si>
  <si>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</si>
  <si>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</si>
  <si>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</si>
  <si>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</si>
  <si>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</si>
  <si>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</si>
  <si>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</si>
  <si>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</si>
  <si>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</si>
  <si>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</si>
  <si>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</si>
  <si>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</si>
  <si>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</si>
  <si>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</si>
  <si>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</si>
  <si>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</si>
  <si>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</si>
  <si>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</si>
  <si>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</si>
  <si>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</si>
  <si>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</si>
  <si>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</si>
  <si>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</si>
  <si>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</si>
  <si>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</si>
  <si>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</si>
  <si>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</si>
  <si>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</si>
  <si>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</si>
  <si>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</si>
  <si>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</si>
  <si>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</si>
  <si>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</si>
  <si>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</si>
  <si>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</si>
  <si>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</si>
  <si>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</si>
  <si>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</si>
  <si>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</si>
  <si>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</si>
  <si>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</si>
  <si>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</si>
  <si>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</si>
  <si>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</si>
  <si>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</si>
  <si>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</si>
  <si>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</si>
  <si>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</si>
  <si>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</si>
  <si>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</si>
  <si>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</si>
  <si>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</si>
  <si>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</si>
  <si>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</si>
  <si>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</si>
  <si>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</si>
  <si>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</si>
  <si>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</si>
  <si>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</si>
  <si>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</si>
  <si>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</si>
  <si>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</si>
  <si>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</si>
  <si>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</si>
  <si>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</si>
  <si>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</si>
  <si>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</si>
  <si>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</si>
  <si>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</si>
  <si>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</si>
  <si>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</si>
  <si>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</si>
  <si>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</si>
  <si>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</si>
  <si>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</si>
  <si>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</si>
  <si>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</si>
  <si>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</si>
  <si>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</si>
  <si>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</si>
  <si>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</si>
  <si>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</si>
  <si>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</si>
  <si>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</si>
  <si>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</si>
  <si>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</si>
  <si>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</si>
  <si>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</si>
  <si>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</si>
  <si>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</si>
  <si>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</si>
  <si>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</si>
  <si>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</si>
  <si>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</si>
  <si>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</si>
  <si>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</si>
  <si>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</si>
  <si>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</si>
  <si>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</si>
  <si>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</si>
  <si>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</si>
  <si>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</si>
  <si>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</si>
  <si>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</si>
  <si>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</si>
  <si>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</si>
  <si>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</si>
  <si>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</si>
  <si>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</si>
  <si>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</si>
  <si>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</si>
  <si>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</si>
  <si>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</si>
  <si>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</si>
  <si>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</si>
  <si>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</si>
  <si>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</si>
  <si>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</si>
  <si>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</si>
  <si>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</si>
  <si>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</si>
  <si>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</si>
  <si>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</si>
  <si>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</si>
  <si>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</si>
  <si>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</si>
  <si>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</si>
  <si>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</si>
  <si>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</si>
  <si>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</si>
  <si>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</si>
  <si>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</si>
  <si>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</si>
  <si>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</si>
  <si>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</si>
  <si>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</si>
  <si>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</si>
  <si>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</si>
  <si>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</si>
  <si>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</si>
  <si>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</si>
  <si>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</si>
  <si>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</si>
  <si>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</si>
  <si>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</si>
  <si>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</si>
  <si>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</si>
  <si>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</si>
  <si>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</si>
  <si>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</si>
  <si>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</si>
  <si>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</si>
  <si>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</si>
  <si>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</si>
  <si>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</si>
  <si>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</si>
  <si>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</si>
  <si>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</si>
  <si>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</si>
  <si>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</si>
  <si>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</si>
  <si>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</si>
  <si>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</si>
  <si>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</si>
  <si>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</si>
  <si>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</si>
  <si>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</si>
  <si>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</si>
  <si>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</si>
  <si>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</si>
  <si>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</si>
  <si>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</si>
  <si>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</si>
  <si>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</si>
  <si>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</si>
  <si>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</si>
  <si>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</si>
  <si>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</si>
  <si>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</si>
  <si>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</si>
  <si>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</si>
  <si>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</si>
  <si>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</si>
  <si>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</si>
  <si>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</si>
  <si>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</si>
  <si>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</si>
  <si>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</si>
  <si>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</si>
  <si>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</si>
  <si>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</si>
  <si>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</si>
  <si>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</si>
  <si>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</si>
  <si>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</si>
  <si>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</si>
  <si>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</si>
  <si>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</si>
  <si>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</si>
  <si>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</si>
  <si>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</si>
  <si>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</si>
  <si>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</si>
  <si>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</si>
  <si>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</si>
  <si>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</si>
  <si>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</si>
  <si>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</si>
  <si>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</si>
  <si>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</si>
  <si>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</si>
  <si>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</si>
  <si>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</si>
  <si>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</si>
  <si>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</si>
  <si>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</si>
  <si>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</si>
  <si>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</si>
  <si>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</si>
  <si>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</si>
  <si>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</si>
  <si>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</si>
  <si>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</si>
  <si>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</si>
  <si>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</si>
  <si>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</si>
  <si>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</si>
  <si>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</si>
  <si>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</si>
  <si>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</si>
  <si>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</si>
  <si>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</si>
  <si>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</si>
  <si>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</si>
  <si>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</si>
  <si>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</si>
  <si>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</si>
  <si>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</si>
  <si>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</si>
  <si>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</si>
  <si>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</si>
  <si>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</si>
  <si>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</si>
  <si>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</si>
  <si>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</si>
  <si>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</si>
  <si>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</si>
  <si>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</si>
  <si>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</si>
  <si>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</si>
  <si>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</si>
  <si>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</si>
  <si>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</si>
  <si>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</si>
  <si>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</si>
  <si>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</si>
  <si>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</si>
  <si>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</si>
  <si>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</si>
  <si>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</si>
  <si>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</si>
  <si>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</si>
  <si>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</si>
  <si>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</si>
  <si>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</si>
  <si>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</si>
  <si>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</si>
  <si>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</si>
  <si>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</si>
  <si>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</si>
  <si>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</si>
  <si>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</si>
  <si>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</si>
  <si>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</si>
  <si>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</si>
  <si>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</si>
  <si>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</si>
  <si>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</si>
  <si>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</si>
  <si>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</si>
  <si>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</si>
  <si>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</si>
  <si>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</si>
  <si>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</si>
  <si>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</si>
  <si>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</si>
  <si>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</si>
  <si>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</si>
  <si>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</si>
  <si>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</si>
  <si>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</si>
  <si>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</si>
  <si>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</si>
  <si>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</si>
  <si>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</si>
  <si>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</si>
  <si>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</si>
  <si>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</si>
  <si>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</si>
  <si>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</si>
  <si>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</si>
  <si>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</si>
  <si>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</si>
  <si>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</si>
  <si>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</si>
  <si>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</si>
  <si>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</si>
  <si>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</si>
  <si>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</si>
  <si>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</si>
  <si>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</si>
  <si>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</si>
  <si>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</si>
  <si>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</si>
  <si>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</si>
  <si>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</si>
  <si>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</si>
  <si>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</si>
  <si>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</si>
  <si>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</si>
  <si>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</si>
  <si>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</si>
  <si>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</si>
  <si>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</si>
  <si>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</si>
  <si>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</si>
  <si>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</si>
  <si>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</si>
  <si>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</si>
  <si>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</si>
  <si>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</si>
  <si>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</si>
  <si>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</si>
  <si>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</si>
  <si>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</si>
  <si>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</si>
  <si>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</si>
  <si>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</si>
  <si>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</si>
  <si>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</si>
  <si>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</si>
  <si>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</si>
  <si>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</si>
  <si>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</si>
  <si>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</si>
  <si>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</si>
  <si>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</si>
  <si>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</si>
  <si>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</si>
  <si>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</si>
  <si>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</si>
  <si>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</si>
  <si>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</si>
  <si>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</si>
  <si>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</si>
  <si>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</si>
  <si>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</si>
  <si>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</si>
  <si>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</si>
  <si>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</si>
  <si>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</si>
  <si>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</si>
  <si>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</si>
  <si>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</si>
  <si>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</si>
  <si>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</si>
  <si>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</si>
  <si>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</si>
  <si>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</si>
  <si>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</si>
  <si>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</si>
  <si>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</si>
  <si>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</si>
  <si>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</si>
  <si>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</si>
  <si>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</si>
  <si>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</si>
  <si>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</si>
  <si>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</si>
  <si>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</si>
  <si>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</si>
  <si>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</si>
  <si>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</si>
  <si>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</si>
  <si>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</si>
  <si>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</si>
  <si>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</si>
  <si>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</si>
  <si>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</si>
  <si>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</si>
  <si>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</si>
  <si>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</si>
  <si>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</si>
  <si>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</si>
  <si>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</si>
  <si>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</si>
  <si>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</si>
  <si>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</si>
  <si>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</si>
  <si>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</si>
  <si>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</si>
  <si>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</si>
  <si>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</si>
  <si>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</si>
  <si>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</si>
  <si>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</si>
  <si>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</si>
  <si>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</si>
  <si>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</si>
  <si>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</si>
  <si>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</si>
  <si>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</si>
  <si>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</si>
  <si>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</si>
  <si>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</si>
  <si>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</si>
  <si>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</si>
  <si>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</si>
  <si>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</si>
  <si>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</si>
  <si>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</si>
  <si>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</si>
  <si>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</si>
  <si>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</si>
  <si>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</si>
  <si>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</si>
  <si>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</si>
  <si>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</si>
  <si>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</si>
  <si>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</si>
  <si>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</si>
  <si>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</si>
  <si>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</si>
  <si>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</si>
  <si>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</si>
  <si>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</si>
  <si>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</si>
  <si>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</si>
  <si>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</si>
  <si>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</si>
  <si>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</si>
  <si>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</si>
  <si>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</si>
  <si>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</si>
  <si>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</si>
  <si>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</si>
  <si>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</si>
  <si>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</si>
  <si>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</si>
  <si>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</si>
  <si>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</si>
  <si>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</si>
  <si>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</si>
  <si>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</si>
  <si>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</si>
  <si>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</si>
  <si>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</si>
  <si>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</si>
  <si>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</si>
  <si>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</si>
  <si>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</si>
  <si>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</si>
  <si>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</si>
  <si>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</si>
  <si>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</si>
  <si>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</si>
  <si>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</si>
  <si>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</si>
  <si>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</si>
  <si>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</si>
  <si>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</si>
  <si>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</si>
  <si>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</si>
  <si>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</si>
  <si>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</si>
  <si>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</si>
  <si>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</si>
  <si>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</si>
  <si>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</si>
  <si>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</si>
  <si>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</si>
  <si>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</si>
  <si>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</si>
  <si>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</si>
  <si>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</si>
  <si>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</si>
  <si>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</si>
  <si>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</si>
  <si>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</si>
  <si>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</si>
  <si>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</si>
  <si>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</si>
  <si>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</si>
  <si>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</si>
  <si>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</si>
  <si>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</si>
  <si>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</si>
  <si>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</si>
  <si>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</si>
  <si>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</si>
  <si>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</si>
  <si>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</si>
  <si>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</si>
  <si>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</si>
  <si>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</si>
  <si>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</si>
  <si>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</si>
  <si>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</si>
  <si>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</si>
  <si>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</si>
  <si>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</si>
  <si>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</si>
  <si>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</si>
  <si>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</si>
  <si>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</si>
  <si>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</si>
  <si>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</si>
  <si>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</si>
  <si>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</si>
  <si>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</si>
  <si>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</si>
  <si>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</si>
  <si>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</si>
  <si>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</si>
  <si>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</si>
  <si>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</si>
  <si>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</si>
  <si>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</si>
  <si>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</si>
  <si>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</si>
  <si>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</si>
  <si>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</si>
  <si>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</si>
  <si>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</si>
  <si>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</si>
  <si>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</si>
  <si>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</si>
  <si>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</si>
  <si>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</si>
  <si>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</si>
  <si>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</si>
  <si>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</si>
  <si>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</si>
  <si>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</si>
  <si>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</si>
  <si>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</si>
  <si>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</si>
  <si>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</si>
  <si>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</si>
  <si>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</si>
  <si>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</si>
  <si>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</si>
  <si>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</si>
  <si>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</si>
  <si>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</si>
  <si>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</si>
  <si>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</si>
  <si>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</si>
  <si>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</si>
  <si>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</si>
  <si>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</si>
  <si>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</si>
  <si>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</si>
  <si>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</si>
  <si>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</si>
  <si>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</si>
  <si>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</si>
  <si>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</si>
  <si>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</si>
  <si>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</si>
  <si>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</si>
  <si>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</si>
  <si>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</si>
  <si>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</si>
  <si>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</si>
  <si>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</si>
  <si>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</si>
  <si>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</si>
  <si>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</si>
  <si>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</si>
  <si>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</si>
  <si>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</si>
  <si>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</si>
  <si>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</si>
  <si>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</si>
  <si>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</si>
  <si>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</si>
  <si>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</si>
  <si>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</si>
  <si>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</si>
  <si>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</si>
  <si>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</si>
  <si>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</si>
  <si>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</si>
  <si>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</si>
  <si>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</si>
  <si>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</si>
  <si>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</si>
  <si>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</si>
  <si>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</si>
  <si>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</si>
  <si>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</si>
  <si>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</si>
  <si>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</si>
  <si>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</si>
  <si>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</si>
  <si>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</si>
  <si>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</si>
  <si>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</si>
  <si>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</si>
  <si>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</si>
  <si>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</si>
  <si>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</si>
  <si>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</si>
  <si>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</si>
  <si>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</si>
  <si>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</si>
  <si>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</si>
  <si>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</si>
  <si>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</si>
  <si>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</si>
  <si>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</si>
  <si>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</si>
  <si>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</si>
  <si>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</si>
  <si>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</si>
  <si>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</si>
  <si>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</si>
  <si>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</si>
  <si>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</si>
  <si>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</si>
  <si>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</si>
  <si>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</si>
  <si>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</si>
  <si>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</si>
  <si>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</si>
  <si>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</si>
  <si>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</si>
  <si>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</si>
  <si>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</si>
  <si>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</si>
  <si>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</si>
  <si>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</si>
  <si>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</si>
  <si>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</si>
  <si>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</si>
  <si>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</si>
  <si>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</si>
  <si>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</si>
  <si>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</si>
  <si>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</si>
  <si>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</si>
  <si>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</si>
  <si>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</si>
  <si>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</si>
  <si>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</si>
  <si>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</si>
  <si>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</si>
  <si>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</si>
  <si>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</si>
  <si>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</si>
  <si>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</si>
  <si>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</si>
  <si>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</si>
  <si>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</si>
  <si>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</si>
  <si>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</si>
  <si>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</si>
  <si>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</si>
  <si>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</si>
  <si>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</si>
  <si>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</si>
  <si>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</si>
  <si>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</si>
  <si>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</si>
  <si>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</si>
  <si>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</si>
  <si>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</si>
  <si>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</si>
  <si>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</si>
  <si>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</si>
  <si>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</si>
  <si>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</si>
  <si>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</si>
  <si>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</si>
  <si>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</si>
  <si>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</si>
  <si>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</si>
  <si>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</si>
  <si>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</si>
  <si>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</si>
  <si>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</si>
  <si>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</si>
  <si>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</si>
  <si>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</si>
  <si>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</si>
  <si>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</si>
  <si>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</si>
  <si>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</si>
  <si>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</si>
  <si>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</si>
  <si>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</si>
  <si>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</si>
  <si>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</si>
  <si>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</si>
  <si>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</si>
  <si>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</si>
  <si>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</si>
  <si>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</si>
  <si>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</si>
  <si>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</si>
  <si>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</si>
  <si>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</si>
  <si>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</si>
  <si>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</si>
  <si>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</si>
  <si>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</si>
  <si>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</si>
  <si>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</si>
  <si>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</si>
  <si>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</si>
  <si>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</si>
  <si>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</si>
  <si>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</si>
  <si>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</si>
  <si>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</si>
  <si>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</si>
  <si>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</si>
  <si>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</si>
  <si>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</si>
  <si>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</si>
  <si>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</si>
  <si>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</si>
  <si>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</si>
  <si>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</si>
  <si>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</si>
  <si>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</si>
  <si>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</si>
  <si>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</si>
  <si>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</si>
  <si>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</si>
  <si>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</si>
  <si>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9705 تا 184.6 که 2715 تا حساب مریم و 6990 حساب داریوش</t>
  </si>
  <si>
    <t>وغدیر 5661 تا 184.6 حساب سارا</t>
  </si>
  <si>
    <t>وغدیر سارا</t>
  </si>
  <si>
    <t>بدهی به سارا نقدی 4/9</t>
  </si>
  <si>
    <t>بدهی به مهدی 4/9</t>
  </si>
  <si>
    <t>261307622 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</si>
  <si>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</si>
  <si>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</si>
  <si>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</si>
  <si>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</si>
  <si>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</si>
  <si>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</si>
  <si>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</si>
  <si>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وغدیر 17660 تا 173.4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</si>
  <si>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</si>
  <si>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</si>
  <si>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</si>
  <si>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</si>
  <si>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</si>
  <si>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</si>
  <si>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</si>
  <si>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</si>
  <si>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</si>
  <si>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</si>
  <si>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</si>
  <si>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</si>
  <si>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</si>
  <si>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</si>
  <si>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</si>
  <si>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</si>
  <si>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</si>
  <si>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</si>
  <si>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</si>
  <si>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</si>
  <si>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</si>
  <si>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</si>
  <si>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</si>
  <si>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</si>
  <si>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</si>
  <si>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</si>
  <si>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</si>
  <si>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</si>
  <si>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</si>
  <si>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</si>
  <si>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</si>
  <si>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</si>
  <si>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</si>
  <si>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</si>
  <si>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قیمت هر سهم صندوق</t>
  </si>
  <si>
    <t>تعداد سهام صندوق 9/9/1397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</si>
  <si>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</si>
  <si>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</si>
  <si>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</si>
  <si>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</si>
  <si>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</si>
  <si>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</si>
  <si>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</si>
  <si>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</si>
  <si>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</si>
  <si>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طلب از داریوش 10/9/97</t>
  </si>
  <si>
    <t>طلب از هاجر رسول زاده 10/9/97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</si>
  <si>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</si>
  <si>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</si>
  <si>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</si>
  <si>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</si>
  <si>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</si>
  <si>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</si>
  <si>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پول نقد حساب داریوش</t>
  </si>
  <si>
    <t>از ملت علی حواله پایا 10/9/97</t>
  </si>
  <si>
    <t>وغدیر 190.3 که 10114 تا  در حساب داریوش است</t>
  </si>
  <si>
    <t>طلب از داریوش 10114 تا وغدیر 21/7/97</t>
  </si>
  <si>
    <t>وغدیر 5492 تا 162.1</t>
  </si>
  <si>
    <t>فروش 9552 تا وغدیر در حساب داریوش</t>
  </si>
  <si>
    <t>وغدیر 9552 تا 190.3 (انتقالی از حساب داریوش)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</si>
</sst>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13" workbookViewId="0">
      <selection activeCell="D34" sqref="D34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4475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4486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4494</v>
      </c>
      <c r="B6" s="18">
        <v>3000000</v>
      </c>
      <c r="C6" s="18">
        <v>0</v>
      </c>
      <c r="D6" s="113">
        <f t="shared" si="0"/>
        <v>3000000</v>
      </c>
      <c r="E6" s="19" t="s">
        <v>4495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4485</v>
      </c>
      <c r="B7" s="18">
        <v>-2000700</v>
      </c>
      <c r="C7" s="18">
        <v>0</v>
      </c>
      <c r="D7" s="113">
        <f t="shared" si="0"/>
        <v>-2000700</v>
      </c>
      <c r="E7" s="19" t="s">
        <v>4530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4485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4485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4485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4364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4365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4365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4384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4387</v>
      </c>
      <c r="B15" s="18">
        <v>0</v>
      </c>
      <c r="C15" s="18">
        <v>0</v>
      </c>
      <c r="D15" s="117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4393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4412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4423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565394</v>
      </c>
      <c r="C27" s="113">
        <f>SUM(C2:C26)</f>
        <v>8034286</v>
      </c>
      <c r="D27" s="113">
        <f>SUM(D2:D26)</f>
        <v>-7468892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19228120</v>
      </c>
      <c r="H28" s="18">
        <f>SUM(H2:H26)</f>
        <v>241028580</v>
      </c>
      <c r="I28" s="18">
        <f>SUM(I2:I26)</f>
        <v>-221800460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4525</v>
      </c>
      <c r="F33" s="96"/>
      <c r="G33" s="18">
        <v>600</v>
      </c>
      <c r="H33" s="18">
        <f>G33*H28/G28</f>
        <v>7521.1278065666329</v>
      </c>
      <c r="I33" s="18">
        <f>G33*I28/G28</f>
        <v>-6921.1278065666329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4531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4533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4532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4537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/>
      <c r="E38" s="54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 t="s">
        <v>25</v>
      </c>
      <c r="E39" s="54" t="s">
        <v>25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96"/>
      <c r="E40" s="54" t="s">
        <v>25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f>SUM(D33:D40)</f>
        <v>739200</v>
      </c>
      <c r="E41" s="96" t="s">
        <v>6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/>
      <c r="E42" s="41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96"/>
      <c r="E43" s="96" t="s">
        <v>25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96"/>
      <c r="E44" s="96" t="s">
        <v>25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96"/>
      <c r="E46" s="96" t="s">
        <v>25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96"/>
      <c r="E47" s="96" t="s">
        <v>25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8" sqref="F2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967</v>
      </c>
      <c r="H2" s="36">
        <f>IF(B2&gt;0,1,0)</f>
        <v>1</v>
      </c>
      <c r="I2" s="11">
        <f>B2*(G2-H2)</f>
        <v>16132200</v>
      </c>
      <c r="J2" s="53">
        <f>C2*(G2-H2)</f>
        <v>16132200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966</v>
      </c>
      <c r="H3" s="36">
        <f t="shared" ref="H3:H66" si="2">IF(B3&gt;0,1,0)</f>
        <v>1</v>
      </c>
      <c r="I3" s="11">
        <f t="shared" ref="I3:I66" si="3">B3*(G3-H3)</f>
        <v>19203500000</v>
      </c>
      <c r="J3" s="53">
        <f t="shared" ref="J3:J66" si="4">C3*(G3-H3)</f>
        <v>10988455000</v>
      </c>
      <c r="K3" s="53">
        <f t="shared" ref="K3:K66" si="5">D3*(G3-H3)</f>
        <v>8215045000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966</v>
      </c>
      <c r="H4" s="36">
        <f t="shared" si="2"/>
        <v>0</v>
      </c>
      <c r="I4" s="11">
        <f t="shared" si="3"/>
        <v>0</v>
      </c>
      <c r="J4" s="53">
        <f t="shared" si="4"/>
        <v>8211000</v>
      </c>
      <c r="K4" s="53">
        <f t="shared" si="5"/>
        <v>-8211000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964</v>
      </c>
      <c r="H5" s="36">
        <f t="shared" si="2"/>
        <v>1</v>
      </c>
      <c r="I5" s="11">
        <f t="shared" si="3"/>
        <v>1926000000</v>
      </c>
      <c r="J5" s="53">
        <f t="shared" si="4"/>
        <v>0</v>
      </c>
      <c r="K5" s="53">
        <f t="shared" si="5"/>
        <v>1926000000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957</v>
      </c>
      <c r="H6" s="36">
        <f t="shared" si="2"/>
        <v>0</v>
      </c>
      <c r="I6" s="11">
        <f t="shared" si="3"/>
        <v>-4785000</v>
      </c>
      <c r="J6" s="53">
        <f t="shared" si="4"/>
        <v>0</v>
      </c>
      <c r="K6" s="53">
        <f t="shared" si="5"/>
        <v>-4785000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953</v>
      </c>
      <c r="H7" s="36">
        <f t="shared" si="2"/>
        <v>0</v>
      </c>
      <c r="I7" s="11">
        <f t="shared" si="3"/>
        <v>-1144076500</v>
      </c>
      <c r="J7" s="53">
        <f t="shared" si="4"/>
        <v>0</v>
      </c>
      <c r="K7" s="53">
        <f t="shared" si="5"/>
        <v>-1144076500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952</v>
      </c>
      <c r="H8" s="36">
        <f t="shared" si="2"/>
        <v>0</v>
      </c>
      <c r="I8" s="11">
        <f t="shared" si="3"/>
        <v>-190400000</v>
      </c>
      <c r="J8" s="53">
        <f t="shared" si="4"/>
        <v>0</v>
      </c>
      <c r="K8" s="53">
        <f t="shared" si="5"/>
        <v>-190400000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950</v>
      </c>
      <c r="H9" s="36">
        <f t="shared" si="2"/>
        <v>0</v>
      </c>
      <c r="I9" s="11">
        <f t="shared" si="3"/>
        <v>-670225000</v>
      </c>
      <c r="J9" s="53">
        <f t="shared" si="4"/>
        <v>0</v>
      </c>
      <c r="K9" s="53">
        <f t="shared" si="5"/>
        <v>-670225000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941</v>
      </c>
      <c r="H10" s="36">
        <f t="shared" si="2"/>
        <v>0</v>
      </c>
      <c r="I10" s="11">
        <f t="shared" si="3"/>
        <v>-188200000</v>
      </c>
      <c r="J10" s="53">
        <f t="shared" si="4"/>
        <v>0</v>
      </c>
      <c r="K10" s="53">
        <f t="shared" si="5"/>
        <v>-188200000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941</v>
      </c>
      <c r="H11" s="36">
        <f t="shared" si="2"/>
        <v>1</v>
      </c>
      <c r="I11" s="11">
        <f t="shared" si="3"/>
        <v>940000000</v>
      </c>
      <c r="J11" s="53">
        <f t="shared" si="4"/>
        <v>0</v>
      </c>
      <c r="K11" s="53">
        <f t="shared" si="5"/>
        <v>940000000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937</v>
      </c>
      <c r="H12" s="36">
        <f t="shared" si="2"/>
        <v>0</v>
      </c>
      <c r="I12" s="11">
        <f t="shared" si="3"/>
        <v>-281100000</v>
      </c>
      <c r="J12" s="53">
        <f t="shared" si="4"/>
        <v>0</v>
      </c>
      <c r="K12" s="53">
        <f t="shared" si="5"/>
        <v>-281100000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932</v>
      </c>
      <c r="H13" s="36">
        <f t="shared" si="2"/>
        <v>0</v>
      </c>
      <c r="I13" s="11">
        <f t="shared" si="3"/>
        <v>-57784000</v>
      </c>
      <c r="J13" s="53">
        <f t="shared" si="4"/>
        <v>0</v>
      </c>
      <c r="K13" s="53">
        <f t="shared" si="5"/>
        <v>-57784000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932</v>
      </c>
      <c r="H14" s="36">
        <f t="shared" si="2"/>
        <v>1</v>
      </c>
      <c r="I14" s="11">
        <f t="shared" si="3"/>
        <v>1862000000</v>
      </c>
      <c r="J14" s="53">
        <f t="shared" si="4"/>
        <v>0</v>
      </c>
      <c r="K14" s="53">
        <f t="shared" si="5"/>
        <v>1862000000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931</v>
      </c>
      <c r="H15" s="36">
        <f t="shared" si="2"/>
        <v>1</v>
      </c>
      <c r="I15" s="11">
        <f t="shared" si="3"/>
        <v>1674000000</v>
      </c>
      <c r="J15" s="53">
        <f t="shared" si="4"/>
        <v>0</v>
      </c>
      <c r="K15" s="53">
        <f t="shared" si="5"/>
        <v>1674000000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931</v>
      </c>
      <c r="H16" s="36">
        <f t="shared" si="2"/>
        <v>0</v>
      </c>
      <c r="I16" s="11">
        <f t="shared" si="3"/>
        <v>-186200000</v>
      </c>
      <c r="J16" s="53">
        <f t="shared" si="4"/>
        <v>0</v>
      </c>
      <c r="K16" s="53">
        <f t="shared" si="5"/>
        <v>-186200000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927</v>
      </c>
      <c r="H17" s="36">
        <f t="shared" si="2"/>
        <v>0</v>
      </c>
      <c r="I17" s="11">
        <f t="shared" si="3"/>
        <v>-1854000000</v>
      </c>
      <c r="J17" s="53">
        <f t="shared" si="4"/>
        <v>0</v>
      </c>
      <c r="K17" s="53">
        <f t="shared" si="5"/>
        <v>-1854000000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926</v>
      </c>
      <c r="H18" s="36">
        <f t="shared" si="2"/>
        <v>0</v>
      </c>
      <c r="I18" s="11">
        <f t="shared" si="3"/>
        <v>-277800000</v>
      </c>
      <c r="J18" s="53">
        <f t="shared" si="4"/>
        <v>0</v>
      </c>
      <c r="K18" s="53">
        <f t="shared" si="5"/>
        <v>-277800000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925</v>
      </c>
      <c r="H19" s="36">
        <f t="shared" si="2"/>
        <v>0</v>
      </c>
      <c r="I19" s="11">
        <f t="shared" si="3"/>
        <v>-185000000</v>
      </c>
      <c r="J19" s="53">
        <f t="shared" si="4"/>
        <v>0</v>
      </c>
      <c r="K19" s="53">
        <f t="shared" si="5"/>
        <v>-185000000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923</v>
      </c>
      <c r="H20" s="36">
        <f t="shared" si="2"/>
        <v>1</v>
      </c>
      <c r="I20" s="11">
        <f t="shared" si="3"/>
        <v>249944058</v>
      </c>
      <c r="J20" s="53">
        <f t="shared" si="4"/>
        <v>135950744</v>
      </c>
      <c r="K20" s="53">
        <f t="shared" si="5"/>
        <v>113993314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921</v>
      </c>
      <c r="H21" s="36">
        <f t="shared" si="2"/>
        <v>0</v>
      </c>
      <c r="I21" s="11">
        <f t="shared" si="3"/>
        <v>-1386749700</v>
      </c>
      <c r="J21" s="53">
        <f t="shared" si="4"/>
        <v>0</v>
      </c>
      <c r="K21" s="53">
        <f t="shared" si="5"/>
        <v>-1386749700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918</v>
      </c>
      <c r="H22" s="36">
        <f t="shared" si="2"/>
        <v>1</v>
      </c>
      <c r="I22" s="11">
        <f t="shared" si="3"/>
        <v>2751000000</v>
      </c>
      <c r="J22" s="53">
        <f t="shared" si="4"/>
        <v>0</v>
      </c>
      <c r="K22" s="53">
        <f t="shared" si="5"/>
        <v>2751000000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917</v>
      </c>
      <c r="H23" s="36">
        <f t="shared" si="2"/>
        <v>1</v>
      </c>
      <c r="I23" s="11">
        <f t="shared" si="3"/>
        <v>916000000</v>
      </c>
      <c r="J23" s="53">
        <f t="shared" si="4"/>
        <v>0</v>
      </c>
      <c r="K23" s="53">
        <f t="shared" si="5"/>
        <v>916000000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916</v>
      </c>
      <c r="H24" s="36">
        <f t="shared" si="2"/>
        <v>0</v>
      </c>
      <c r="I24" s="11">
        <f t="shared" si="3"/>
        <v>-2748824400</v>
      </c>
      <c r="J24" s="53">
        <f t="shared" si="4"/>
        <v>0</v>
      </c>
      <c r="K24" s="53">
        <f t="shared" si="5"/>
        <v>-2748824400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901</v>
      </c>
      <c r="H25" s="36">
        <f t="shared" si="2"/>
        <v>1</v>
      </c>
      <c r="I25" s="11">
        <f t="shared" si="3"/>
        <v>1350000000</v>
      </c>
      <c r="J25" s="53">
        <f t="shared" si="4"/>
        <v>0</v>
      </c>
      <c r="K25" s="53">
        <f t="shared" si="5"/>
        <v>1350000000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893</v>
      </c>
      <c r="H26" s="36">
        <f t="shared" si="2"/>
        <v>0</v>
      </c>
      <c r="I26" s="11">
        <f t="shared" si="3"/>
        <v>-146452000</v>
      </c>
      <c r="J26" s="53">
        <f t="shared" si="4"/>
        <v>0</v>
      </c>
      <c r="K26" s="53">
        <f t="shared" si="5"/>
        <v>-146452000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892</v>
      </c>
      <c r="H27" s="36">
        <f t="shared" si="2"/>
        <v>1</v>
      </c>
      <c r="I27" s="11">
        <f t="shared" si="3"/>
        <v>177659163</v>
      </c>
      <c r="J27" s="53">
        <f t="shared" si="4"/>
        <v>95704983</v>
      </c>
      <c r="K27" s="53">
        <f t="shared" si="5"/>
        <v>81954180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890</v>
      </c>
      <c r="H28" s="36">
        <f t="shared" si="2"/>
        <v>0</v>
      </c>
      <c r="I28" s="11">
        <f t="shared" si="3"/>
        <v>-196690000</v>
      </c>
      <c r="J28" s="53">
        <f t="shared" si="4"/>
        <v>-196690000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890</v>
      </c>
      <c r="H29" s="36">
        <f t="shared" si="2"/>
        <v>0</v>
      </c>
      <c r="I29" s="11">
        <f t="shared" si="3"/>
        <v>-445445000</v>
      </c>
      <c r="J29" s="53">
        <f t="shared" si="4"/>
        <v>0</v>
      </c>
      <c r="K29" s="53">
        <f t="shared" si="5"/>
        <v>-445445000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890</v>
      </c>
      <c r="H30" s="36">
        <f t="shared" si="2"/>
        <v>0</v>
      </c>
      <c r="I30" s="11">
        <f t="shared" si="3"/>
        <v>-13350000000</v>
      </c>
      <c r="J30" s="53">
        <f t="shared" si="4"/>
        <v>-13350000000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873</v>
      </c>
      <c r="H31" s="36">
        <f t="shared" si="2"/>
        <v>0</v>
      </c>
      <c r="I31" s="11">
        <f t="shared" si="3"/>
        <v>-2628515700</v>
      </c>
      <c r="J31" s="53">
        <f t="shared" si="4"/>
        <v>0</v>
      </c>
      <c r="K31" s="53">
        <f t="shared" si="5"/>
        <v>-2628515700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871</v>
      </c>
      <c r="H32" s="36">
        <f t="shared" si="2"/>
        <v>0</v>
      </c>
      <c r="I32" s="11">
        <f t="shared" si="3"/>
        <v>-2618138900</v>
      </c>
      <c r="J32" s="53">
        <f t="shared" si="4"/>
        <v>0</v>
      </c>
      <c r="K32" s="53">
        <f t="shared" si="5"/>
        <v>-2618138900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870</v>
      </c>
      <c r="H33" s="36">
        <f t="shared" si="2"/>
        <v>0</v>
      </c>
      <c r="I33" s="11">
        <f t="shared" si="3"/>
        <v>-779085000</v>
      </c>
      <c r="J33" s="53">
        <f t="shared" si="4"/>
        <v>0</v>
      </c>
      <c r="K33" s="53">
        <f t="shared" si="5"/>
        <v>-779085000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870</v>
      </c>
      <c r="H34" s="36">
        <f t="shared" si="2"/>
        <v>0</v>
      </c>
      <c r="I34" s="11">
        <f t="shared" si="3"/>
        <v>0</v>
      </c>
      <c r="J34" s="53">
        <f t="shared" si="4"/>
        <v>870000000</v>
      </c>
      <c r="K34" s="53">
        <f t="shared" si="5"/>
        <v>-870000000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861</v>
      </c>
      <c r="H35" s="36">
        <f t="shared" si="2"/>
        <v>1</v>
      </c>
      <c r="I35" s="11">
        <f t="shared" si="3"/>
        <v>45125920</v>
      </c>
      <c r="J35" s="53">
        <f t="shared" si="4"/>
        <v>-18630180</v>
      </c>
      <c r="K35" s="53">
        <f t="shared" si="5"/>
        <v>63756100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861</v>
      </c>
      <c r="H36" s="36">
        <f t="shared" si="2"/>
        <v>0</v>
      </c>
      <c r="I36" s="11">
        <f t="shared" si="3"/>
        <v>0</v>
      </c>
      <c r="J36" s="53">
        <f t="shared" si="4"/>
        <v>18651843</v>
      </c>
      <c r="K36" s="53">
        <f t="shared" si="5"/>
        <v>-18651843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851</v>
      </c>
      <c r="H37" s="36">
        <f t="shared" si="2"/>
        <v>0</v>
      </c>
      <c r="I37" s="11">
        <f t="shared" si="3"/>
        <v>-46805000</v>
      </c>
      <c r="J37" s="53">
        <f t="shared" si="4"/>
        <v>0</v>
      </c>
      <c r="K37" s="53">
        <f t="shared" si="5"/>
        <v>-46805000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850</v>
      </c>
      <c r="H38" s="36">
        <f t="shared" si="2"/>
        <v>1</v>
      </c>
      <c r="I38" s="11">
        <f t="shared" si="3"/>
        <v>2547000000</v>
      </c>
      <c r="J38" s="53">
        <f t="shared" si="4"/>
        <v>2547000000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849</v>
      </c>
      <c r="H39" s="36">
        <f t="shared" si="2"/>
        <v>1</v>
      </c>
      <c r="I39" s="11">
        <f t="shared" si="3"/>
        <v>2120000000</v>
      </c>
      <c r="J39" s="53">
        <f t="shared" si="4"/>
        <v>2120000000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849</v>
      </c>
      <c r="H40" s="36">
        <f t="shared" si="2"/>
        <v>0</v>
      </c>
      <c r="I40" s="11">
        <f t="shared" si="3"/>
        <v>-42450000</v>
      </c>
      <c r="J40" s="53">
        <f t="shared" si="4"/>
        <v>0</v>
      </c>
      <c r="K40" s="53">
        <f t="shared" si="5"/>
        <v>-42450000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849</v>
      </c>
      <c r="H41" s="36">
        <f t="shared" si="2"/>
        <v>1</v>
      </c>
      <c r="I41" s="11">
        <f t="shared" si="3"/>
        <v>2544000000</v>
      </c>
      <c r="J41" s="53">
        <f t="shared" si="4"/>
        <v>0</v>
      </c>
      <c r="K41" s="53">
        <f t="shared" si="5"/>
        <v>2544000000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846</v>
      </c>
      <c r="H42" s="36">
        <f t="shared" si="2"/>
        <v>0</v>
      </c>
      <c r="I42" s="11">
        <f t="shared" si="3"/>
        <v>-75463200</v>
      </c>
      <c r="J42" s="53">
        <f t="shared" si="4"/>
        <v>0</v>
      </c>
      <c r="K42" s="53">
        <f t="shared" si="5"/>
        <v>-75463200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842</v>
      </c>
      <c r="H43" s="36">
        <f t="shared" si="2"/>
        <v>0</v>
      </c>
      <c r="I43" s="11">
        <f t="shared" si="3"/>
        <v>-168400000</v>
      </c>
      <c r="J43" s="53">
        <f t="shared" si="4"/>
        <v>0</v>
      </c>
      <c r="K43" s="53">
        <f t="shared" si="5"/>
        <v>-168400000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840</v>
      </c>
      <c r="H44" s="36">
        <f t="shared" si="2"/>
        <v>0</v>
      </c>
      <c r="I44" s="11">
        <f t="shared" si="3"/>
        <v>-168000000</v>
      </c>
      <c r="J44" s="53">
        <f t="shared" si="4"/>
        <v>0</v>
      </c>
      <c r="K44" s="53">
        <f t="shared" si="5"/>
        <v>-168000000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840</v>
      </c>
      <c r="H45" s="36">
        <f t="shared" si="2"/>
        <v>0</v>
      </c>
      <c r="I45" s="11">
        <f t="shared" si="3"/>
        <v>-470400000</v>
      </c>
      <c r="J45" s="53">
        <f t="shared" si="4"/>
        <v>0</v>
      </c>
      <c r="K45" s="53">
        <f t="shared" si="5"/>
        <v>-470400000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836</v>
      </c>
      <c r="H46" s="36">
        <f t="shared" si="2"/>
        <v>0</v>
      </c>
      <c r="I46" s="11">
        <f t="shared" si="3"/>
        <v>-589798000</v>
      </c>
      <c r="J46" s="53">
        <f t="shared" si="4"/>
        <v>0</v>
      </c>
      <c r="K46" s="53">
        <f t="shared" si="5"/>
        <v>-589798000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830</v>
      </c>
      <c r="H47" s="36">
        <f t="shared" si="2"/>
        <v>1</v>
      </c>
      <c r="I47" s="11">
        <f t="shared" si="3"/>
        <v>34158116</v>
      </c>
      <c r="J47" s="53">
        <f t="shared" si="4"/>
        <v>5565077</v>
      </c>
      <c r="K47" s="53">
        <f t="shared" si="5"/>
        <v>28593039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830</v>
      </c>
      <c r="H48" s="36">
        <f t="shared" si="2"/>
        <v>1</v>
      </c>
      <c r="I48" s="11">
        <f t="shared" si="3"/>
        <v>1413196300</v>
      </c>
      <c r="J48" s="53">
        <f t="shared" si="4"/>
        <v>0</v>
      </c>
      <c r="K48" s="53">
        <f t="shared" si="5"/>
        <v>1413196300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821</v>
      </c>
      <c r="H49" s="36">
        <f t="shared" si="2"/>
        <v>0</v>
      </c>
      <c r="I49" s="11">
        <f t="shared" si="3"/>
        <v>-127255000</v>
      </c>
      <c r="J49" s="53">
        <f t="shared" si="4"/>
        <v>0</v>
      </c>
      <c r="K49" s="53">
        <f t="shared" si="5"/>
        <v>-127255000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821</v>
      </c>
      <c r="H50" s="36">
        <f t="shared" si="2"/>
        <v>0</v>
      </c>
      <c r="I50" s="11">
        <f t="shared" si="3"/>
        <v>-113298000</v>
      </c>
      <c r="J50" s="53">
        <f t="shared" si="4"/>
        <v>0</v>
      </c>
      <c r="K50" s="53">
        <f t="shared" si="5"/>
        <v>-113298000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821</v>
      </c>
      <c r="H51" s="36">
        <f t="shared" si="2"/>
        <v>0</v>
      </c>
      <c r="I51" s="11">
        <f t="shared" si="3"/>
        <v>-607540000</v>
      </c>
      <c r="J51" s="53">
        <f t="shared" si="4"/>
        <v>0</v>
      </c>
      <c r="K51" s="53">
        <f t="shared" si="5"/>
        <v>-607540000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821</v>
      </c>
      <c r="H52" s="36">
        <f t="shared" si="2"/>
        <v>0</v>
      </c>
      <c r="I52" s="11">
        <f t="shared" si="3"/>
        <v>-164200000</v>
      </c>
      <c r="J52" s="53">
        <f t="shared" si="4"/>
        <v>0</v>
      </c>
      <c r="K52" s="53">
        <f t="shared" si="5"/>
        <v>-164200000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820</v>
      </c>
      <c r="H53" s="36">
        <f t="shared" si="2"/>
        <v>0</v>
      </c>
      <c r="I53" s="11">
        <f t="shared" si="3"/>
        <v>-865100000</v>
      </c>
      <c r="J53" s="53">
        <f t="shared" si="4"/>
        <v>0</v>
      </c>
      <c r="K53" s="53">
        <f t="shared" si="5"/>
        <v>-865100000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820</v>
      </c>
      <c r="H54" s="36">
        <f t="shared" si="2"/>
        <v>0</v>
      </c>
      <c r="I54" s="11">
        <f t="shared" si="3"/>
        <v>-164000000</v>
      </c>
      <c r="J54" s="53">
        <f t="shared" si="4"/>
        <v>0</v>
      </c>
      <c r="K54" s="53">
        <f t="shared" si="5"/>
        <v>-164000000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820</v>
      </c>
      <c r="H55" s="36">
        <f t="shared" si="2"/>
        <v>0</v>
      </c>
      <c r="I55" s="11">
        <f t="shared" si="3"/>
        <v>-820410000</v>
      </c>
      <c r="J55" s="53">
        <f t="shared" si="4"/>
        <v>0</v>
      </c>
      <c r="K55" s="53">
        <f t="shared" si="5"/>
        <v>-820410000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820</v>
      </c>
      <c r="H56" s="36">
        <f t="shared" si="2"/>
        <v>0</v>
      </c>
      <c r="I56" s="11">
        <f t="shared" si="3"/>
        <v>-31160000</v>
      </c>
      <c r="J56" s="53">
        <f t="shared" si="4"/>
        <v>0</v>
      </c>
      <c r="K56" s="53">
        <f t="shared" si="5"/>
        <v>-31160000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820</v>
      </c>
      <c r="H57" s="36">
        <f t="shared" si="2"/>
        <v>0</v>
      </c>
      <c r="I57" s="11">
        <f t="shared" si="3"/>
        <v>-86100000</v>
      </c>
      <c r="J57" s="53">
        <f t="shared" si="4"/>
        <v>0</v>
      </c>
      <c r="K57" s="53">
        <f t="shared" si="5"/>
        <v>-86100000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820</v>
      </c>
      <c r="H58" s="36">
        <f t="shared" si="2"/>
        <v>0</v>
      </c>
      <c r="I58" s="11">
        <f t="shared" si="3"/>
        <v>-49200000</v>
      </c>
      <c r="J58" s="53">
        <f t="shared" si="4"/>
        <v>0</v>
      </c>
      <c r="K58" s="53">
        <f t="shared" si="5"/>
        <v>-49200000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817</v>
      </c>
      <c r="H59" s="36">
        <f t="shared" si="2"/>
        <v>1</v>
      </c>
      <c r="I59" s="11">
        <f t="shared" si="3"/>
        <v>816000000</v>
      </c>
      <c r="J59" s="53">
        <f t="shared" si="4"/>
        <v>816000000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816</v>
      </c>
      <c r="H60" s="36">
        <f t="shared" si="2"/>
        <v>1</v>
      </c>
      <c r="I60" s="11">
        <f t="shared" si="3"/>
        <v>2852500000</v>
      </c>
      <c r="J60" s="53">
        <f t="shared" si="4"/>
        <v>2852500000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814</v>
      </c>
      <c r="H61" s="36">
        <f t="shared" si="2"/>
        <v>1</v>
      </c>
      <c r="I61" s="11">
        <f t="shared" si="3"/>
        <v>813000000</v>
      </c>
      <c r="J61" s="53">
        <f t="shared" si="4"/>
        <v>813000000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814</v>
      </c>
      <c r="H62" s="36">
        <f t="shared" si="2"/>
        <v>1</v>
      </c>
      <c r="I62" s="11">
        <f t="shared" si="3"/>
        <v>2439000000</v>
      </c>
      <c r="J62" s="53">
        <f t="shared" si="4"/>
        <v>2439000000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812</v>
      </c>
      <c r="H63" s="36">
        <f t="shared" si="2"/>
        <v>0</v>
      </c>
      <c r="I63" s="11">
        <f t="shared" si="3"/>
        <v>-162400000</v>
      </c>
      <c r="J63" s="53">
        <f t="shared" si="4"/>
        <v>0</v>
      </c>
      <c r="K63" s="53">
        <f t="shared" si="5"/>
        <v>-162400000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807</v>
      </c>
      <c r="H64" s="36">
        <f t="shared" si="2"/>
        <v>0</v>
      </c>
      <c r="I64" s="11">
        <f t="shared" si="3"/>
        <v>-40350000</v>
      </c>
      <c r="J64" s="53">
        <f t="shared" si="4"/>
        <v>0</v>
      </c>
      <c r="K64" s="53">
        <f t="shared" si="5"/>
        <v>-40350000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803</v>
      </c>
      <c r="H65" s="36">
        <f t="shared" si="2"/>
        <v>0</v>
      </c>
      <c r="I65" s="11">
        <f t="shared" si="3"/>
        <v>-160600000</v>
      </c>
      <c r="J65" s="53">
        <f t="shared" si="4"/>
        <v>0</v>
      </c>
      <c r="K65" s="53">
        <f t="shared" si="5"/>
        <v>-160600000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800</v>
      </c>
      <c r="H66" s="36">
        <f t="shared" si="2"/>
        <v>0</v>
      </c>
      <c r="I66" s="11">
        <f t="shared" si="3"/>
        <v>-136000000</v>
      </c>
      <c r="J66" s="53">
        <f t="shared" si="4"/>
        <v>0</v>
      </c>
      <c r="K66" s="53">
        <f t="shared" si="5"/>
        <v>-136000000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799</v>
      </c>
      <c r="H67" s="36">
        <f t="shared" ref="H67:H131" si="8">IF(B67&gt;0,1,0)</f>
        <v>1</v>
      </c>
      <c r="I67" s="11">
        <f t="shared" ref="I67:I119" si="9">B67*(G67-H67)</f>
        <v>72877350</v>
      </c>
      <c r="J67" s="53">
        <f t="shared" ref="J67:J131" si="10">C67*(G67-H67)</f>
        <v>52446954</v>
      </c>
      <c r="K67" s="53">
        <f t="shared" ref="K67:K131" si="11">D67*(G67-H67)</f>
        <v>20430396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781</v>
      </c>
      <c r="H68" s="36">
        <f t="shared" si="8"/>
        <v>0</v>
      </c>
      <c r="I68" s="11">
        <f t="shared" si="9"/>
        <v>-113245000</v>
      </c>
      <c r="J68" s="53">
        <f t="shared" si="10"/>
        <v>0</v>
      </c>
      <c r="K68" s="53">
        <f t="shared" si="11"/>
        <v>-113245000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774</v>
      </c>
      <c r="H69" s="36">
        <f t="shared" si="8"/>
        <v>1</v>
      </c>
      <c r="I69" s="11">
        <f t="shared" si="9"/>
        <v>757540000</v>
      </c>
      <c r="J69" s="53">
        <f t="shared" si="10"/>
        <v>0</v>
      </c>
      <c r="K69" s="53">
        <f t="shared" si="11"/>
        <v>757540000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771</v>
      </c>
      <c r="H70" s="36">
        <f t="shared" si="8"/>
        <v>0</v>
      </c>
      <c r="I70" s="11">
        <f t="shared" si="9"/>
        <v>-35466000</v>
      </c>
      <c r="J70" s="53">
        <f t="shared" si="10"/>
        <v>0</v>
      </c>
      <c r="K70" s="53">
        <f t="shared" si="11"/>
        <v>-35466000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769</v>
      </c>
      <c r="H71" s="36">
        <f t="shared" si="8"/>
        <v>1</v>
      </c>
      <c r="I71" s="11">
        <f t="shared" si="9"/>
        <v>88579584</v>
      </c>
      <c r="J71" s="53">
        <f t="shared" si="10"/>
        <v>79727616</v>
      </c>
      <c r="K71" s="53">
        <f t="shared" si="11"/>
        <v>8851968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768</v>
      </c>
      <c r="H72" s="36">
        <f t="shared" si="8"/>
        <v>0</v>
      </c>
      <c r="I72" s="11">
        <f t="shared" si="9"/>
        <v>-116712192</v>
      </c>
      <c r="J72" s="53">
        <f t="shared" si="10"/>
        <v>0</v>
      </c>
      <c r="K72" s="53">
        <f t="shared" si="11"/>
        <v>-116712192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767</v>
      </c>
      <c r="H73" s="36">
        <f t="shared" si="8"/>
        <v>0</v>
      </c>
      <c r="I73" s="11">
        <f t="shared" si="9"/>
        <v>-617818500</v>
      </c>
      <c r="J73" s="53">
        <f t="shared" si="10"/>
        <v>0</v>
      </c>
      <c r="K73" s="53">
        <f t="shared" si="11"/>
        <v>-617818500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760</v>
      </c>
      <c r="H74" s="36">
        <f t="shared" si="8"/>
        <v>1</v>
      </c>
      <c r="I74" s="11">
        <f t="shared" si="9"/>
        <v>5309205000</v>
      </c>
      <c r="J74" s="53">
        <f t="shared" si="10"/>
        <v>0</v>
      </c>
      <c r="K74" s="53">
        <f t="shared" si="11"/>
        <v>5309205000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759</v>
      </c>
      <c r="H75" s="36">
        <f t="shared" si="8"/>
        <v>1</v>
      </c>
      <c r="I75" s="11">
        <f t="shared" si="9"/>
        <v>2274000000</v>
      </c>
      <c r="J75" s="53">
        <f t="shared" si="10"/>
        <v>0</v>
      </c>
      <c r="K75" s="53">
        <f t="shared" si="11"/>
        <v>2274000000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757</v>
      </c>
      <c r="H76" s="36">
        <f t="shared" si="8"/>
        <v>1</v>
      </c>
      <c r="I76" s="11">
        <f t="shared" si="9"/>
        <v>2268000000</v>
      </c>
      <c r="J76" s="53">
        <f t="shared" si="10"/>
        <v>0</v>
      </c>
      <c r="K76" s="53">
        <f t="shared" si="11"/>
        <v>2268000000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756</v>
      </c>
      <c r="H77" s="36">
        <f t="shared" si="8"/>
        <v>1</v>
      </c>
      <c r="I77" s="11">
        <f t="shared" si="9"/>
        <v>2265000000</v>
      </c>
      <c r="J77" s="53">
        <f t="shared" si="10"/>
        <v>0</v>
      </c>
      <c r="K77" s="53">
        <f t="shared" si="11"/>
        <v>2265000000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755</v>
      </c>
      <c r="H78" s="36">
        <f t="shared" si="8"/>
        <v>0</v>
      </c>
      <c r="I78" s="11">
        <f t="shared" si="9"/>
        <v>-2416000000</v>
      </c>
      <c r="J78" s="53">
        <f t="shared" si="10"/>
        <v>-2416000000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754</v>
      </c>
      <c r="H79" s="36">
        <f t="shared" si="8"/>
        <v>0</v>
      </c>
      <c r="I79" s="11">
        <f t="shared" si="9"/>
        <v>-603200000</v>
      </c>
      <c r="J79" s="53">
        <f t="shared" si="10"/>
        <v>-603200000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753</v>
      </c>
      <c r="H80" s="36">
        <f t="shared" si="8"/>
        <v>0</v>
      </c>
      <c r="I80" s="11">
        <f t="shared" si="9"/>
        <v>-36439929</v>
      </c>
      <c r="J80" s="53">
        <f t="shared" si="10"/>
        <v>0</v>
      </c>
      <c r="K80" s="53">
        <f t="shared" si="11"/>
        <v>-36439929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752</v>
      </c>
      <c r="H81" s="36">
        <f t="shared" si="8"/>
        <v>0</v>
      </c>
      <c r="I81" s="11">
        <f t="shared" si="9"/>
        <v>-105280000</v>
      </c>
      <c r="J81" s="53">
        <f t="shared" si="10"/>
        <v>0</v>
      </c>
      <c r="K81" s="53">
        <f t="shared" si="11"/>
        <v>-105280000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751</v>
      </c>
      <c r="H82" s="36">
        <f t="shared" si="8"/>
        <v>0</v>
      </c>
      <c r="I82" s="11">
        <f t="shared" si="9"/>
        <v>-187750000</v>
      </c>
      <c r="J82" s="53">
        <f t="shared" si="10"/>
        <v>0</v>
      </c>
      <c r="K82" s="53">
        <f t="shared" si="11"/>
        <v>-187750000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750</v>
      </c>
      <c r="H83" s="36">
        <f t="shared" si="8"/>
        <v>0</v>
      </c>
      <c r="I83" s="11">
        <f t="shared" si="9"/>
        <v>-150000000</v>
      </c>
      <c r="J83" s="53">
        <f t="shared" si="10"/>
        <v>0</v>
      </c>
      <c r="K83" s="53">
        <f t="shared" si="11"/>
        <v>-150000000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747</v>
      </c>
      <c r="H84" s="36">
        <f t="shared" si="8"/>
        <v>1</v>
      </c>
      <c r="I84" s="11">
        <f t="shared" si="9"/>
        <v>1219859200</v>
      </c>
      <c r="J84" s="53">
        <f t="shared" si="10"/>
        <v>0</v>
      </c>
      <c r="K84" s="53">
        <f t="shared" si="11"/>
        <v>1219859200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743</v>
      </c>
      <c r="H85" s="36">
        <f t="shared" si="8"/>
        <v>1</v>
      </c>
      <c r="I85" s="11">
        <f t="shared" si="9"/>
        <v>1855000000</v>
      </c>
      <c r="J85" s="53">
        <f t="shared" si="10"/>
        <v>0</v>
      </c>
      <c r="K85" s="53">
        <f t="shared" si="11"/>
        <v>1855000000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739</v>
      </c>
      <c r="H86" s="36">
        <f t="shared" si="8"/>
        <v>1</v>
      </c>
      <c r="I86" s="11">
        <f t="shared" si="9"/>
        <v>137489400</v>
      </c>
      <c r="J86" s="53">
        <f t="shared" si="10"/>
        <v>62693100</v>
      </c>
      <c r="K86" s="53">
        <f t="shared" si="11"/>
        <v>74796300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736</v>
      </c>
      <c r="H87" s="36">
        <f t="shared" si="8"/>
        <v>0</v>
      </c>
      <c r="I87" s="11">
        <f t="shared" si="9"/>
        <v>-147200000</v>
      </c>
      <c r="J87" s="53">
        <f t="shared" si="10"/>
        <v>0</v>
      </c>
      <c r="K87" s="53">
        <f t="shared" si="11"/>
        <v>-147200000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735</v>
      </c>
      <c r="H88" s="36">
        <f t="shared" si="8"/>
        <v>0</v>
      </c>
      <c r="I88" s="11">
        <f t="shared" si="9"/>
        <v>-86730000</v>
      </c>
      <c r="J88" s="53">
        <f t="shared" si="10"/>
        <v>-50715000</v>
      </c>
      <c r="K88" s="53">
        <f t="shared" si="11"/>
        <v>-36015000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727</v>
      </c>
      <c r="H89" s="36">
        <f t="shared" si="8"/>
        <v>0</v>
      </c>
      <c r="I89" s="11">
        <f t="shared" si="9"/>
        <v>-2327054300</v>
      </c>
      <c r="J89" s="53">
        <f t="shared" si="10"/>
        <v>0</v>
      </c>
      <c r="K89" s="53">
        <f t="shared" si="11"/>
        <v>-2327054300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726</v>
      </c>
      <c r="H90" s="36">
        <f t="shared" si="8"/>
        <v>0</v>
      </c>
      <c r="I90" s="11">
        <f t="shared" si="9"/>
        <v>-2323853400</v>
      </c>
      <c r="J90" s="53">
        <f t="shared" si="10"/>
        <v>0</v>
      </c>
      <c r="K90" s="53">
        <f t="shared" si="11"/>
        <v>-2323853400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725</v>
      </c>
      <c r="H91" s="36">
        <f t="shared" si="8"/>
        <v>0</v>
      </c>
      <c r="I91" s="11">
        <f t="shared" si="9"/>
        <v>-2320652500</v>
      </c>
      <c r="J91" s="53">
        <f t="shared" si="10"/>
        <v>0</v>
      </c>
      <c r="K91" s="53">
        <f t="shared" si="11"/>
        <v>-2320652500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724</v>
      </c>
      <c r="H92" s="36">
        <f t="shared" si="8"/>
        <v>0</v>
      </c>
      <c r="I92" s="11">
        <f t="shared" si="9"/>
        <v>-2317451600</v>
      </c>
      <c r="J92" s="53">
        <f t="shared" si="10"/>
        <v>0</v>
      </c>
      <c r="K92" s="53">
        <f t="shared" si="11"/>
        <v>-2317451600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723</v>
      </c>
      <c r="H93" s="36">
        <f t="shared" si="8"/>
        <v>0</v>
      </c>
      <c r="I93" s="11">
        <f t="shared" si="9"/>
        <v>-2314250700</v>
      </c>
      <c r="J93" s="53">
        <f t="shared" si="10"/>
        <v>0</v>
      </c>
      <c r="K93" s="53">
        <f t="shared" si="11"/>
        <v>-2314250700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722</v>
      </c>
      <c r="H94" s="36">
        <f t="shared" si="8"/>
        <v>0</v>
      </c>
      <c r="I94" s="11">
        <f t="shared" si="9"/>
        <v>-2311049800</v>
      </c>
      <c r="J94" s="53">
        <f t="shared" si="10"/>
        <v>0</v>
      </c>
      <c r="K94" s="53">
        <f t="shared" si="11"/>
        <v>-2311049800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720</v>
      </c>
      <c r="H95" s="36">
        <f t="shared" si="8"/>
        <v>0</v>
      </c>
      <c r="I95" s="11">
        <f t="shared" si="9"/>
        <v>-861549120</v>
      </c>
      <c r="J95" s="53">
        <f t="shared" si="10"/>
        <v>0</v>
      </c>
      <c r="K95" s="53">
        <f t="shared" si="11"/>
        <v>-861549120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710</v>
      </c>
      <c r="H96" s="36">
        <f t="shared" si="8"/>
        <v>0</v>
      </c>
      <c r="I96" s="11">
        <f t="shared" si="9"/>
        <v>-142000000</v>
      </c>
      <c r="J96" s="53">
        <f t="shared" si="10"/>
        <v>0</v>
      </c>
      <c r="K96" s="53">
        <f t="shared" si="11"/>
        <v>-142000000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709</v>
      </c>
      <c r="H97" s="36">
        <f t="shared" si="8"/>
        <v>1</v>
      </c>
      <c r="I97" s="11">
        <f t="shared" si="9"/>
        <v>112967064</v>
      </c>
      <c r="J97" s="53">
        <f t="shared" si="10"/>
        <v>48799608</v>
      </c>
      <c r="K97" s="53">
        <f t="shared" si="11"/>
        <v>64167456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704</v>
      </c>
      <c r="H98" s="36">
        <f t="shared" si="8"/>
        <v>1</v>
      </c>
      <c r="I98" s="11">
        <f t="shared" si="9"/>
        <v>80400704</v>
      </c>
      <c r="J98" s="53">
        <f t="shared" si="10"/>
        <v>0</v>
      </c>
      <c r="K98" s="53">
        <f t="shared" si="11"/>
        <v>80400704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701</v>
      </c>
      <c r="H99" s="36">
        <f t="shared" si="8"/>
        <v>0</v>
      </c>
      <c r="I99" s="11">
        <f t="shared" si="9"/>
        <v>-928825000</v>
      </c>
      <c r="J99" s="53">
        <f t="shared" si="10"/>
        <v>0</v>
      </c>
      <c r="K99" s="53">
        <f t="shared" si="11"/>
        <v>-928825000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696</v>
      </c>
      <c r="H100" s="36">
        <f t="shared" si="8"/>
        <v>1</v>
      </c>
      <c r="I100" s="11">
        <f t="shared" si="9"/>
        <v>920875000</v>
      </c>
      <c r="J100" s="53">
        <f t="shared" si="10"/>
        <v>0</v>
      </c>
      <c r="K100" s="53">
        <f t="shared" si="11"/>
        <v>920875000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679</v>
      </c>
      <c r="H101" s="36">
        <f t="shared" si="8"/>
        <v>1</v>
      </c>
      <c r="I101" s="11">
        <f t="shared" si="9"/>
        <v>45320910</v>
      </c>
      <c r="J101" s="53">
        <f t="shared" si="10"/>
        <v>45320910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676</v>
      </c>
      <c r="H102" s="36">
        <f t="shared" si="8"/>
        <v>1</v>
      </c>
      <c r="I102" s="11">
        <f t="shared" si="9"/>
        <v>2025000000</v>
      </c>
      <c r="J102" s="53">
        <f t="shared" si="10"/>
        <v>0</v>
      </c>
      <c r="K102" s="53">
        <f t="shared" si="11"/>
        <v>2025000000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669</v>
      </c>
      <c r="H103" s="36">
        <f t="shared" si="8"/>
        <v>0</v>
      </c>
      <c r="I103" s="11">
        <f t="shared" si="9"/>
        <v>-669000000</v>
      </c>
      <c r="J103" s="53">
        <f t="shared" si="10"/>
        <v>-669000000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659</v>
      </c>
      <c r="H104" s="36">
        <f t="shared" si="8"/>
        <v>1</v>
      </c>
      <c r="I104" s="11">
        <f t="shared" si="9"/>
        <v>1974000000</v>
      </c>
      <c r="J104" s="53">
        <f t="shared" si="10"/>
        <v>1974000000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658</v>
      </c>
      <c r="H105" s="36">
        <f t="shared" si="8"/>
        <v>1</v>
      </c>
      <c r="I105" s="11">
        <f t="shared" si="9"/>
        <v>735840000</v>
      </c>
      <c r="J105" s="53">
        <f t="shared" si="10"/>
        <v>735840000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658</v>
      </c>
      <c r="H106" s="36">
        <f t="shared" si="8"/>
        <v>0</v>
      </c>
      <c r="I106" s="11">
        <f t="shared" si="9"/>
        <v>-1974000000</v>
      </c>
      <c r="J106" s="53">
        <f t="shared" si="10"/>
        <v>0</v>
      </c>
      <c r="K106" s="53">
        <f t="shared" si="11"/>
        <v>-1974000000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649</v>
      </c>
      <c r="H107" s="36">
        <f t="shared" si="8"/>
        <v>1</v>
      </c>
      <c r="I107" s="11">
        <f t="shared" si="9"/>
        <v>58640112</v>
      </c>
      <c r="J107" s="53">
        <f t="shared" si="10"/>
        <v>48674520</v>
      </c>
      <c r="K107" s="53">
        <f t="shared" si="11"/>
        <v>9965592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647</v>
      </c>
      <c r="H108" s="36">
        <f t="shared" si="8"/>
        <v>0</v>
      </c>
      <c r="I108" s="11">
        <f t="shared" si="9"/>
        <v>-1100352900</v>
      </c>
      <c r="J108" s="53">
        <f t="shared" si="10"/>
        <v>0</v>
      </c>
      <c r="K108" s="53">
        <f t="shared" si="11"/>
        <v>-1100352900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643</v>
      </c>
      <c r="H109" s="36">
        <f t="shared" si="8"/>
        <v>0</v>
      </c>
      <c r="I109" s="11">
        <f t="shared" si="9"/>
        <v>-643321500</v>
      </c>
      <c r="J109" s="53">
        <f t="shared" si="10"/>
        <v>0</v>
      </c>
      <c r="K109" s="53">
        <f t="shared" si="11"/>
        <v>-643321500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640</v>
      </c>
      <c r="H110" s="36">
        <f t="shared" si="8"/>
        <v>1</v>
      </c>
      <c r="I110" s="11">
        <f t="shared" si="9"/>
        <v>12780000000</v>
      </c>
      <c r="J110" s="53">
        <f t="shared" si="10"/>
        <v>0</v>
      </c>
      <c r="K110" s="53">
        <f t="shared" si="11"/>
        <v>12780000000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620</v>
      </c>
      <c r="H111" s="36">
        <f t="shared" si="8"/>
        <v>1</v>
      </c>
      <c r="I111" s="11">
        <f t="shared" si="9"/>
        <v>108125682</v>
      </c>
      <c r="J111" s="53">
        <f t="shared" si="10"/>
        <v>54077697</v>
      </c>
      <c r="K111" s="53">
        <f t="shared" si="11"/>
        <v>54047985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604</v>
      </c>
      <c r="H112" s="36">
        <f t="shared" si="8"/>
        <v>0</v>
      </c>
      <c r="I112" s="11">
        <f t="shared" si="9"/>
        <v>-17153600000</v>
      </c>
      <c r="J112" s="53">
        <f t="shared" si="10"/>
        <v>0</v>
      </c>
      <c r="K112" s="53">
        <f t="shared" si="11"/>
        <v>-17153600000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589</v>
      </c>
      <c r="H113" s="36">
        <f t="shared" si="8"/>
        <v>1</v>
      </c>
      <c r="I113" s="11">
        <f t="shared" si="9"/>
        <v>95867520</v>
      </c>
      <c r="J113" s="53">
        <f t="shared" si="10"/>
        <v>72036468</v>
      </c>
      <c r="K113" s="53">
        <f t="shared" si="11"/>
        <v>23831052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589</v>
      </c>
      <c r="H114" s="36">
        <f t="shared" si="8"/>
        <v>0</v>
      </c>
      <c r="I114" s="11">
        <f t="shared" si="9"/>
        <v>-3357300</v>
      </c>
      <c r="J114" s="53">
        <f t="shared" si="10"/>
        <v>-1472500</v>
      </c>
      <c r="K114" s="53">
        <f t="shared" si="11"/>
        <v>-1884800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576</v>
      </c>
      <c r="H115" s="36">
        <f t="shared" si="8"/>
        <v>0</v>
      </c>
      <c r="I115" s="11">
        <f t="shared" si="9"/>
        <v>0</v>
      </c>
      <c r="J115" s="53">
        <f t="shared" si="10"/>
        <v>288000000</v>
      </c>
      <c r="K115" s="53">
        <f t="shared" si="11"/>
        <v>-288000000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568</v>
      </c>
      <c r="H116" s="36">
        <f t="shared" si="8"/>
        <v>0</v>
      </c>
      <c r="I116" s="11">
        <f t="shared" si="9"/>
        <v>-90880000</v>
      </c>
      <c r="J116" s="53">
        <f t="shared" si="10"/>
        <v>0</v>
      </c>
      <c r="K116" s="53">
        <f t="shared" si="11"/>
        <v>-90880000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559</v>
      </c>
      <c r="H117" s="36">
        <f t="shared" si="8"/>
        <v>1</v>
      </c>
      <c r="I117" s="11">
        <f t="shared" si="9"/>
        <v>825840</v>
      </c>
      <c r="J117" s="53">
        <f t="shared" si="10"/>
        <v>59673078</v>
      </c>
      <c r="K117" s="53">
        <f t="shared" si="11"/>
        <v>-58847238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537</v>
      </c>
      <c r="H118" s="36">
        <f t="shared" si="8"/>
        <v>1</v>
      </c>
      <c r="I118" s="11">
        <f t="shared" si="9"/>
        <v>21118132000</v>
      </c>
      <c r="J118" s="53">
        <f t="shared" si="10"/>
        <v>0</v>
      </c>
      <c r="K118" s="53">
        <f t="shared" si="11"/>
        <v>21118132000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528</v>
      </c>
      <c r="H119" s="36">
        <f t="shared" si="8"/>
        <v>1</v>
      </c>
      <c r="I119" s="11">
        <f t="shared" si="9"/>
        <v>50339567</v>
      </c>
      <c r="J119" s="53">
        <f t="shared" si="10"/>
        <v>57998458</v>
      </c>
      <c r="K119" s="53">
        <f t="shared" si="11"/>
        <v>-7658891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524</v>
      </c>
      <c r="H120" s="11">
        <f t="shared" si="8"/>
        <v>1</v>
      </c>
      <c r="I120" s="11">
        <f t="shared" ref="I120:I266" si="13">B120*(G120-H120)</f>
        <v>1046000000</v>
      </c>
      <c r="J120" s="11">
        <f t="shared" si="10"/>
        <v>0</v>
      </c>
      <c r="K120" s="11">
        <f t="shared" si="11"/>
        <v>1046000000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498</v>
      </c>
      <c r="H121" s="11">
        <f t="shared" si="8"/>
        <v>1</v>
      </c>
      <c r="I121" s="11">
        <f t="shared" si="13"/>
        <v>1292200000</v>
      </c>
      <c r="J121" s="11">
        <f t="shared" si="10"/>
        <v>0</v>
      </c>
      <c r="K121" s="11">
        <f t="shared" si="11"/>
        <v>1292200000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497</v>
      </c>
      <c r="H122" s="11">
        <f t="shared" si="8"/>
        <v>1</v>
      </c>
      <c r="I122" s="11">
        <f t="shared" si="13"/>
        <v>190737296</v>
      </c>
      <c r="J122" s="11">
        <f t="shared" si="10"/>
        <v>55010368</v>
      </c>
      <c r="K122" s="11">
        <f t="shared" si="11"/>
        <v>135726928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496</v>
      </c>
      <c r="H123" s="11">
        <f t="shared" si="8"/>
        <v>0</v>
      </c>
      <c r="I123" s="11">
        <f t="shared" si="13"/>
        <v>0</v>
      </c>
      <c r="J123" s="11">
        <f t="shared" si="10"/>
        <v>396800000</v>
      </c>
      <c r="K123" s="11">
        <f t="shared" si="11"/>
        <v>-396800000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482</v>
      </c>
      <c r="H124" s="11">
        <f t="shared" si="8"/>
        <v>0</v>
      </c>
      <c r="I124" s="11">
        <f t="shared" si="13"/>
        <v>-1446000000</v>
      </c>
      <c r="J124" s="11">
        <f t="shared" si="10"/>
        <v>0</v>
      </c>
      <c r="K124" s="11">
        <f t="shared" si="11"/>
        <v>-1446000000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467</v>
      </c>
      <c r="H125" s="11">
        <f t="shared" si="8"/>
        <v>1</v>
      </c>
      <c r="I125" s="11">
        <f t="shared" si="13"/>
        <v>186730860</v>
      </c>
      <c r="J125" s="11">
        <f t="shared" si="10"/>
        <v>55395750</v>
      </c>
      <c r="K125" s="11">
        <f t="shared" si="11"/>
        <v>131335110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467</v>
      </c>
      <c r="H126" s="11">
        <f t="shared" si="8"/>
        <v>1</v>
      </c>
      <c r="I126" s="11">
        <f t="shared" si="13"/>
        <v>19572000000</v>
      </c>
      <c r="J126" s="11">
        <f t="shared" si="10"/>
        <v>0</v>
      </c>
      <c r="K126" s="11">
        <f t="shared" si="11"/>
        <v>19572000000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442</v>
      </c>
      <c r="H127" s="11">
        <f t="shared" si="8"/>
        <v>0</v>
      </c>
      <c r="I127" s="11">
        <f t="shared" si="13"/>
        <v>-2210000</v>
      </c>
      <c r="J127" s="11">
        <f t="shared" si="10"/>
        <v>0</v>
      </c>
      <c r="K127" s="11">
        <f t="shared" si="11"/>
        <v>-2210000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436</v>
      </c>
      <c r="H128" s="11">
        <f t="shared" si="8"/>
        <v>1</v>
      </c>
      <c r="I128" s="11">
        <f t="shared" si="13"/>
        <v>335547690</v>
      </c>
      <c r="J128" s="11">
        <f t="shared" si="10"/>
        <v>52503195</v>
      </c>
      <c r="K128" s="11">
        <f t="shared" si="11"/>
        <v>283044495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433</v>
      </c>
      <c r="H129" s="11">
        <f t="shared" si="8"/>
        <v>1</v>
      </c>
      <c r="I129" s="11">
        <f t="shared" si="13"/>
        <v>1080000000</v>
      </c>
      <c r="J129" s="11">
        <f t="shared" si="10"/>
        <v>0</v>
      </c>
      <c r="K129" s="11">
        <f t="shared" si="11"/>
        <v>1080000000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419</v>
      </c>
      <c r="H130" s="11">
        <f t="shared" si="8"/>
        <v>0</v>
      </c>
      <c r="I130" s="11">
        <f t="shared" si="13"/>
        <v>-419000000</v>
      </c>
      <c r="J130" s="11">
        <f t="shared" si="10"/>
        <v>-419000000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414</v>
      </c>
      <c r="H131" s="11">
        <f t="shared" si="8"/>
        <v>0</v>
      </c>
      <c r="I131" s="11">
        <f t="shared" si="13"/>
        <v>-20700000000</v>
      </c>
      <c r="J131" s="11">
        <f t="shared" si="10"/>
        <v>0</v>
      </c>
      <c r="K131" s="11">
        <f t="shared" si="11"/>
        <v>-20700000000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406</v>
      </c>
      <c r="H132" s="11">
        <f t="shared" ref="H132:H266" si="15">IF(B132&gt;0,1,0)</f>
        <v>1</v>
      </c>
      <c r="I132" s="11">
        <f t="shared" si="13"/>
        <v>248786235</v>
      </c>
      <c r="J132" s="11">
        <f t="shared" ref="J132:J206" si="16">C132*(G132-H132)</f>
        <v>42918255</v>
      </c>
      <c r="K132" s="11">
        <f t="shared" ref="K132:K266" si="17">D132*(G132-H132)</f>
        <v>205867980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402</v>
      </c>
      <c r="H133" s="11">
        <f t="shared" si="15"/>
        <v>0</v>
      </c>
      <c r="I133" s="11">
        <f t="shared" si="13"/>
        <v>-486701400</v>
      </c>
      <c r="J133" s="11">
        <f t="shared" si="16"/>
        <v>0</v>
      </c>
      <c r="K133" s="11">
        <f t="shared" si="17"/>
        <v>-486701400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393</v>
      </c>
      <c r="H134" s="11">
        <f t="shared" si="15"/>
        <v>0</v>
      </c>
      <c r="I134" s="11">
        <f t="shared" si="13"/>
        <v>-25545000</v>
      </c>
      <c r="J134" s="11">
        <f t="shared" si="16"/>
        <v>0</v>
      </c>
      <c r="K134" s="11">
        <f t="shared" si="17"/>
        <v>-25545000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393</v>
      </c>
      <c r="H135" s="11">
        <f t="shared" si="15"/>
        <v>0</v>
      </c>
      <c r="I135" s="11">
        <f t="shared" si="13"/>
        <v>-12693900</v>
      </c>
      <c r="J135" s="11">
        <f t="shared" si="16"/>
        <v>0</v>
      </c>
      <c r="K135" s="11">
        <f t="shared" si="17"/>
        <v>-12693900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385</v>
      </c>
      <c r="H136" s="11">
        <f t="shared" si="15"/>
        <v>0</v>
      </c>
      <c r="I136" s="11">
        <f t="shared" si="13"/>
        <v>-385000000</v>
      </c>
      <c r="J136" s="11">
        <f t="shared" si="16"/>
        <v>-385000000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376</v>
      </c>
      <c r="H137" s="11">
        <f t="shared" si="15"/>
        <v>1</v>
      </c>
      <c r="I137" s="11">
        <f t="shared" si="13"/>
        <v>109077375</v>
      </c>
      <c r="J137" s="11">
        <f t="shared" si="16"/>
        <v>36509625</v>
      </c>
      <c r="K137" s="11">
        <f t="shared" si="17"/>
        <v>72567750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359</v>
      </c>
      <c r="H138" s="11">
        <f t="shared" si="15"/>
        <v>0</v>
      </c>
      <c r="I138" s="11">
        <f t="shared" si="13"/>
        <v>-359179500</v>
      </c>
      <c r="J138" s="11">
        <f t="shared" si="16"/>
        <v>-359179500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347</v>
      </c>
      <c r="H139" s="11">
        <f t="shared" si="15"/>
        <v>1</v>
      </c>
      <c r="I139" s="11">
        <f t="shared" si="13"/>
        <v>97655040</v>
      </c>
      <c r="J139" s="11">
        <f t="shared" si="16"/>
        <v>30727222</v>
      </c>
      <c r="K139" s="11">
        <f t="shared" si="17"/>
        <v>66927818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344</v>
      </c>
      <c r="H140" s="11">
        <f t="shared" si="15"/>
        <v>1</v>
      </c>
      <c r="I140" s="11">
        <f t="shared" si="13"/>
        <v>514500000</v>
      </c>
      <c r="J140" s="11">
        <f t="shared" si="16"/>
        <v>0</v>
      </c>
      <c r="K140" s="11">
        <f t="shared" si="17"/>
        <v>514500000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331</v>
      </c>
      <c r="H141" s="11">
        <f t="shared" si="15"/>
        <v>0</v>
      </c>
      <c r="I141" s="11">
        <f t="shared" si="13"/>
        <v>0</v>
      </c>
      <c r="J141" s="11">
        <f t="shared" si="16"/>
        <v>-331000000</v>
      </c>
      <c r="K141" s="11">
        <f t="shared" si="17"/>
        <v>331000000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317</v>
      </c>
      <c r="H142" s="11">
        <f t="shared" si="15"/>
        <v>1</v>
      </c>
      <c r="I142" s="11">
        <f t="shared" si="13"/>
        <v>91922188</v>
      </c>
      <c r="J142" s="11">
        <f t="shared" si="16"/>
        <v>25602952</v>
      </c>
      <c r="K142" s="11">
        <f t="shared" si="17"/>
        <v>66319236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297</v>
      </c>
      <c r="H143" s="11">
        <f t="shared" si="15"/>
        <v>0</v>
      </c>
      <c r="I143" s="11">
        <f t="shared" si="13"/>
        <v>0</v>
      </c>
      <c r="J143" s="11">
        <f t="shared" si="16"/>
        <v>-297000000</v>
      </c>
      <c r="K143" s="11">
        <f t="shared" si="17"/>
        <v>297000000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287</v>
      </c>
      <c r="H144" s="11">
        <f t="shared" si="15"/>
        <v>1</v>
      </c>
      <c r="I144" s="11">
        <f t="shared" si="13"/>
        <v>84327672</v>
      </c>
      <c r="J144" s="11">
        <f t="shared" si="16"/>
        <v>21351902</v>
      </c>
      <c r="K144" s="11">
        <f t="shared" si="17"/>
        <v>62975770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272</v>
      </c>
      <c r="H145" s="11">
        <f t="shared" si="15"/>
        <v>0</v>
      </c>
      <c r="I145" s="11">
        <f t="shared" si="13"/>
        <v>-2720000</v>
      </c>
      <c r="J145" s="11">
        <f t="shared" si="16"/>
        <v>-1360000</v>
      </c>
      <c r="K145" s="11">
        <f t="shared" si="17"/>
        <v>-1360000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267</v>
      </c>
      <c r="H146" s="11">
        <f t="shared" si="15"/>
        <v>0</v>
      </c>
      <c r="I146" s="11">
        <f t="shared" si="13"/>
        <v>-267133500</v>
      </c>
      <c r="J146" s="11">
        <f t="shared" si="16"/>
        <v>-267133500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261</v>
      </c>
      <c r="H147" s="11">
        <f t="shared" si="15"/>
        <v>0</v>
      </c>
      <c r="I147" s="11">
        <f t="shared" si="13"/>
        <v>-7047000000</v>
      </c>
      <c r="J147" s="11">
        <f t="shared" si="16"/>
        <v>0</v>
      </c>
      <c r="K147" s="11">
        <f t="shared" si="17"/>
        <v>-7047000000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258</v>
      </c>
      <c r="H148" s="11">
        <f t="shared" si="15"/>
        <v>1</v>
      </c>
      <c r="I148" s="11">
        <f t="shared" si="13"/>
        <v>64876052</v>
      </c>
      <c r="J148" s="11">
        <f t="shared" si="16"/>
        <v>16836070</v>
      </c>
      <c r="K148" s="11">
        <f t="shared" si="17"/>
        <v>48039982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250</v>
      </c>
      <c r="H149" s="11">
        <f t="shared" si="15"/>
        <v>1</v>
      </c>
      <c r="I149" s="11">
        <f t="shared" si="13"/>
        <v>13047600000</v>
      </c>
      <c r="J149" s="11">
        <f t="shared" si="16"/>
        <v>0</v>
      </c>
      <c r="K149" s="11">
        <f t="shared" si="17"/>
        <v>13047600000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243</v>
      </c>
      <c r="H150" s="11">
        <f t="shared" si="15"/>
        <v>0</v>
      </c>
      <c r="I150" s="11">
        <f t="shared" si="13"/>
        <v>-12636000000</v>
      </c>
      <c r="J150" s="11">
        <f t="shared" si="16"/>
        <v>0</v>
      </c>
      <c r="K150" s="11">
        <f t="shared" si="17"/>
        <v>-12636000000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238</v>
      </c>
      <c r="H151" s="99">
        <f t="shared" si="15"/>
        <v>0</v>
      </c>
      <c r="I151" s="99">
        <f t="shared" si="13"/>
        <v>-1904000000</v>
      </c>
      <c r="J151" s="99">
        <f t="shared" si="16"/>
        <v>-1611767178</v>
      </c>
      <c r="K151" s="11">
        <f t="shared" si="17"/>
        <v>-292232822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238</v>
      </c>
      <c r="H152" s="99">
        <f t="shared" si="15"/>
        <v>0</v>
      </c>
      <c r="I152" s="99">
        <f t="shared" si="13"/>
        <v>-7432740</v>
      </c>
      <c r="J152" s="99">
        <f t="shared" si="16"/>
        <v>0</v>
      </c>
      <c r="K152" s="99">
        <f t="shared" si="17"/>
        <v>-7432740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227</v>
      </c>
      <c r="H153" s="99">
        <f t="shared" si="15"/>
        <v>1</v>
      </c>
      <c r="I153" s="99">
        <f t="shared" si="13"/>
        <v>30529662</v>
      </c>
      <c r="J153" s="99">
        <f t="shared" si="16"/>
        <v>9295380</v>
      </c>
      <c r="K153" s="99">
        <f t="shared" si="17"/>
        <v>21234282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224</v>
      </c>
      <c r="H154" s="99">
        <f t="shared" si="15"/>
        <v>1</v>
      </c>
      <c r="I154" s="99">
        <f t="shared" si="13"/>
        <v>1521770286</v>
      </c>
      <c r="J154" s="99">
        <f t="shared" si="16"/>
        <v>1521770286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219</v>
      </c>
      <c r="H155" s="99">
        <f t="shared" si="15"/>
        <v>0</v>
      </c>
      <c r="I155" s="99">
        <f t="shared" si="13"/>
        <v>-43800000</v>
      </c>
      <c r="J155" s="99">
        <f t="shared" si="16"/>
        <v>0</v>
      </c>
      <c r="K155" s="99">
        <f t="shared" si="17"/>
        <v>-43800000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219</v>
      </c>
      <c r="H156" s="99">
        <f t="shared" si="15"/>
        <v>0</v>
      </c>
      <c r="I156" s="99">
        <f t="shared" si="13"/>
        <v>-54276960</v>
      </c>
      <c r="J156" s="99">
        <f t="shared" si="16"/>
        <v>0</v>
      </c>
      <c r="K156" s="99">
        <f t="shared" si="17"/>
        <v>-54276960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218</v>
      </c>
      <c r="H157" s="99">
        <f t="shared" si="15"/>
        <v>0</v>
      </c>
      <c r="I157" s="99">
        <f t="shared" si="13"/>
        <v>-35390120</v>
      </c>
      <c r="J157" s="99">
        <f t="shared" si="16"/>
        <v>0</v>
      </c>
      <c r="K157" s="99">
        <f t="shared" si="17"/>
        <v>-35390120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218</v>
      </c>
      <c r="H158" s="99">
        <f t="shared" si="15"/>
        <v>0</v>
      </c>
      <c r="I158" s="99">
        <f t="shared" si="13"/>
        <v>-654196200</v>
      </c>
      <c r="J158" s="99">
        <f t="shared" si="16"/>
        <v>0</v>
      </c>
      <c r="K158" s="99">
        <f t="shared" si="17"/>
        <v>-654196200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216</v>
      </c>
      <c r="H159" s="99">
        <f t="shared" si="15"/>
        <v>0</v>
      </c>
      <c r="I159" s="99">
        <f t="shared" si="13"/>
        <v>-216108000</v>
      </c>
      <c r="J159" s="99">
        <f t="shared" si="16"/>
        <v>0</v>
      </c>
      <c r="K159" s="99">
        <f t="shared" si="17"/>
        <v>-216108000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212</v>
      </c>
      <c r="H160" s="99">
        <f t="shared" si="15"/>
        <v>0</v>
      </c>
      <c r="I160" s="99">
        <f t="shared" si="13"/>
        <v>-21200000</v>
      </c>
      <c r="J160" s="99">
        <f t="shared" si="16"/>
        <v>0</v>
      </c>
      <c r="K160" s="99">
        <f t="shared" si="17"/>
        <v>-21200000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211</v>
      </c>
      <c r="H161" s="99">
        <f t="shared" si="15"/>
        <v>0</v>
      </c>
      <c r="I161" s="99">
        <f t="shared" si="13"/>
        <v>-422000000</v>
      </c>
      <c r="J161" s="99">
        <f t="shared" si="16"/>
        <v>0</v>
      </c>
      <c r="K161" s="99">
        <f t="shared" si="17"/>
        <v>-422000000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211</v>
      </c>
      <c r="H162" s="99">
        <f t="shared" si="15"/>
        <v>0</v>
      </c>
      <c r="I162" s="99">
        <f t="shared" si="13"/>
        <v>-211105500</v>
      </c>
      <c r="J162" s="99">
        <f t="shared" si="16"/>
        <v>0</v>
      </c>
      <c r="K162" s="99">
        <f t="shared" si="17"/>
        <v>-211105500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208</v>
      </c>
      <c r="H163" s="99">
        <f t="shared" si="15"/>
        <v>0</v>
      </c>
      <c r="I163" s="99">
        <f t="shared" si="13"/>
        <v>-1040000</v>
      </c>
      <c r="J163" s="99">
        <f t="shared" si="16"/>
        <v>0</v>
      </c>
      <c r="K163" s="99">
        <f t="shared" si="17"/>
        <v>-1040000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198</v>
      </c>
      <c r="H164" s="99">
        <f t="shared" si="15"/>
        <v>1</v>
      </c>
      <c r="I164" s="99">
        <f t="shared" si="13"/>
        <v>591000000</v>
      </c>
      <c r="J164" s="99">
        <f t="shared" si="16"/>
        <v>0</v>
      </c>
      <c r="K164" s="99">
        <f t="shared" si="17"/>
        <v>591000000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197</v>
      </c>
      <c r="H165" s="99">
        <f t="shared" si="15"/>
        <v>1</v>
      </c>
      <c r="I165" s="99">
        <f t="shared" si="13"/>
        <v>588000000</v>
      </c>
      <c r="J165" s="99">
        <f t="shared" si="16"/>
        <v>0</v>
      </c>
      <c r="K165" s="99">
        <f t="shared" si="17"/>
        <v>588000000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196</v>
      </c>
      <c r="H166" s="99">
        <f t="shared" si="15"/>
        <v>1</v>
      </c>
      <c r="I166" s="99">
        <f t="shared" si="13"/>
        <v>3961230</v>
      </c>
      <c r="J166" s="99">
        <f t="shared" si="16"/>
        <v>11669190</v>
      </c>
      <c r="K166" s="99">
        <f t="shared" si="17"/>
        <v>-7707960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191</v>
      </c>
      <c r="H167" s="99">
        <f t="shared" si="15"/>
        <v>0</v>
      </c>
      <c r="I167" s="99">
        <f t="shared" si="13"/>
        <v>-573171900</v>
      </c>
      <c r="J167" s="99">
        <f t="shared" si="16"/>
        <v>0</v>
      </c>
      <c r="K167" s="99">
        <f t="shared" si="17"/>
        <v>-573171900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173</v>
      </c>
      <c r="H168" s="99">
        <f t="shared" si="15"/>
        <v>0</v>
      </c>
      <c r="I168" s="99">
        <f t="shared" si="13"/>
        <v>-519155700</v>
      </c>
      <c r="J168" s="99">
        <f t="shared" si="16"/>
        <v>0</v>
      </c>
      <c r="K168" s="99">
        <f t="shared" si="17"/>
        <v>-519155700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165</v>
      </c>
      <c r="H169" s="99">
        <f t="shared" si="15"/>
        <v>1</v>
      </c>
      <c r="I169" s="99">
        <f t="shared" si="13"/>
        <v>3559620</v>
      </c>
      <c r="J169" s="99">
        <f t="shared" si="16"/>
        <v>11236460</v>
      </c>
      <c r="K169" s="99">
        <f t="shared" si="17"/>
        <v>-7676840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141</v>
      </c>
      <c r="H170" s="99">
        <f t="shared" si="15"/>
        <v>1</v>
      </c>
      <c r="I170" s="99">
        <f t="shared" si="13"/>
        <v>700000000</v>
      </c>
      <c r="J170" s="99">
        <f t="shared" si="16"/>
        <v>0</v>
      </c>
      <c r="K170" s="99">
        <f t="shared" si="17"/>
        <v>700000000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140</v>
      </c>
      <c r="H171" s="99">
        <f t="shared" si="15"/>
        <v>0</v>
      </c>
      <c r="I171" s="99">
        <f t="shared" si="13"/>
        <v>-700000000</v>
      </c>
      <c r="J171" s="99">
        <f t="shared" si="16"/>
        <v>0</v>
      </c>
      <c r="K171" s="99">
        <f t="shared" si="17"/>
        <v>-700000000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134</v>
      </c>
      <c r="H172" s="99">
        <f t="shared" si="15"/>
        <v>1</v>
      </c>
      <c r="I172" s="99">
        <f t="shared" si="13"/>
        <v>65968</v>
      </c>
      <c r="J172" s="99">
        <f t="shared" si="16"/>
        <v>8336573</v>
      </c>
      <c r="K172" s="99">
        <f t="shared" si="17"/>
        <v>-8270605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133</v>
      </c>
      <c r="H173" s="99">
        <f t="shared" si="15"/>
        <v>1</v>
      </c>
      <c r="I173" s="99">
        <f t="shared" si="13"/>
        <v>103620000</v>
      </c>
      <c r="J173" s="99">
        <f t="shared" si="16"/>
        <v>0</v>
      </c>
      <c r="K173" s="99">
        <f t="shared" si="17"/>
        <v>103620000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122</v>
      </c>
      <c r="H174" s="99">
        <f t="shared" si="15"/>
        <v>0</v>
      </c>
      <c r="I174" s="99">
        <f t="shared" si="13"/>
        <v>-3904000</v>
      </c>
      <c r="J174" s="99">
        <f t="shared" si="16"/>
        <v>0</v>
      </c>
      <c r="K174" s="99">
        <f t="shared" si="17"/>
        <v>-3904000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120</v>
      </c>
      <c r="H175" s="99">
        <f t="shared" si="15"/>
        <v>0</v>
      </c>
      <c r="I175" s="99">
        <f t="shared" si="13"/>
        <v>-90000000</v>
      </c>
      <c r="J175" s="99">
        <f t="shared" si="16"/>
        <v>0</v>
      </c>
      <c r="K175" s="99">
        <f t="shared" si="17"/>
        <v>-90000000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111</v>
      </c>
      <c r="H176" s="99">
        <f t="shared" si="15"/>
        <v>0</v>
      </c>
      <c r="I176" s="99">
        <f t="shared" si="13"/>
        <v>-1042956</v>
      </c>
      <c r="J176" s="99">
        <f t="shared" si="16"/>
        <v>0</v>
      </c>
      <c r="K176" s="99">
        <f t="shared" si="17"/>
        <v>-1042956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110</v>
      </c>
      <c r="H177" s="99">
        <f t="shared" si="15"/>
        <v>0</v>
      </c>
      <c r="I177" s="99">
        <f t="shared" si="13"/>
        <v>-4763000</v>
      </c>
      <c r="J177" s="99">
        <f t="shared" si="16"/>
        <v>0</v>
      </c>
      <c r="K177" s="99">
        <f t="shared" si="17"/>
        <v>-4763000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107</v>
      </c>
      <c r="H178" s="99">
        <f t="shared" si="15"/>
        <v>1</v>
      </c>
      <c r="I178" s="99">
        <f t="shared" si="13"/>
        <v>38160000</v>
      </c>
      <c r="J178" s="99">
        <f t="shared" si="16"/>
        <v>0</v>
      </c>
      <c r="K178" s="99">
        <f t="shared" si="17"/>
        <v>38160000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105</v>
      </c>
      <c r="H179" s="99">
        <f t="shared" si="15"/>
        <v>1</v>
      </c>
      <c r="I179" s="99">
        <f t="shared" si="13"/>
        <v>312000000</v>
      </c>
      <c r="J179" s="99">
        <f t="shared" si="16"/>
        <v>0</v>
      </c>
      <c r="K179" s="99">
        <f t="shared" si="17"/>
        <v>312000000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105</v>
      </c>
      <c r="H180" s="99">
        <f t="shared" si="15"/>
        <v>0</v>
      </c>
      <c r="I180" s="99">
        <f t="shared" si="13"/>
        <v>-1265250</v>
      </c>
      <c r="J180" s="99">
        <f t="shared" si="16"/>
        <v>0</v>
      </c>
      <c r="K180" s="99">
        <f t="shared" si="17"/>
        <v>-1265250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103</v>
      </c>
      <c r="H181" s="99">
        <f t="shared" si="15"/>
        <v>1</v>
      </c>
      <c r="I181" s="99">
        <f t="shared" si="13"/>
        <v>306000000</v>
      </c>
      <c r="J181" s="99">
        <f t="shared" si="16"/>
        <v>0</v>
      </c>
      <c r="K181" s="99">
        <f t="shared" si="17"/>
        <v>306000000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101</v>
      </c>
      <c r="H182" s="99">
        <f t="shared" si="15"/>
        <v>0</v>
      </c>
      <c r="I182" s="99">
        <f t="shared" si="13"/>
        <v>-3615800</v>
      </c>
      <c r="J182" s="99">
        <f t="shared" si="16"/>
        <v>0</v>
      </c>
      <c r="K182" s="99">
        <f t="shared" si="17"/>
        <v>-3615800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100</v>
      </c>
      <c r="H183" s="99">
        <f t="shared" si="15"/>
        <v>1</v>
      </c>
      <c r="I183" s="99">
        <f t="shared" si="13"/>
        <v>356400000</v>
      </c>
      <c r="J183" s="99">
        <f t="shared" si="16"/>
        <v>0</v>
      </c>
      <c r="K183" s="99">
        <f t="shared" si="17"/>
        <v>356400000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100</v>
      </c>
      <c r="H184" s="99">
        <f t="shared" si="15"/>
        <v>0</v>
      </c>
      <c r="I184" s="99">
        <f t="shared" si="13"/>
        <v>-3337700</v>
      </c>
      <c r="J184" s="99">
        <f t="shared" si="16"/>
        <v>0</v>
      </c>
      <c r="K184" s="99">
        <f t="shared" si="17"/>
        <v>-3337700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97</v>
      </c>
      <c r="H185" s="99">
        <f t="shared" si="15"/>
        <v>0</v>
      </c>
      <c r="I185" s="99">
        <f t="shared" si="13"/>
        <v>-950600000</v>
      </c>
      <c r="J185" s="99">
        <f t="shared" si="16"/>
        <v>0</v>
      </c>
      <c r="K185" s="99">
        <f t="shared" si="17"/>
        <v>-950600000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97</v>
      </c>
      <c r="H186" s="99">
        <f t="shared" si="15"/>
        <v>1</v>
      </c>
      <c r="I186" s="99">
        <f t="shared" si="13"/>
        <v>1728000000</v>
      </c>
      <c r="J186" s="99">
        <f t="shared" si="16"/>
        <v>0</v>
      </c>
      <c r="K186" s="99">
        <f t="shared" si="17"/>
        <v>1728000000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97</v>
      </c>
      <c r="H187" s="99">
        <f t="shared" si="15"/>
        <v>0</v>
      </c>
      <c r="I187" s="99">
        <f t="shared" si="13"/>
        <v>-873000000</v>
      </c>
      <c r="J187" s="99">
        <f t="shared" si="16"/>
        <v>0</v>
      </c>
      <c r="K187" s="99">
        <f t="shared" si="17"/>
        <v>-873000000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97</v>
      </c>
      <c r="H188" s="99">
        <f t="shared" si="15"/>
        <v>0</v>
      </c>
      <c r="I188" s="99">
        <f t="shared" si="13"/>
        <v>-1125200</v>
      </c>
      <c r="J188" s="99">
        <f t="shared" si="16"/>
        <v>0</v>
      </c>
      <c r="K188" s="99">
        <f t="shared" si="17"/>
        <v>-1125200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97</v>
      </c>
      <c r="H189" s="99">
        <f t="shared" si="15"/>
        <v>0</v>
      </c>
      <c r="I189" s="99">
        <f t="shared" si="13"/>
        <v>-320519719</v>
      </c>
      <c r="J189" s="99">
        <f t="shared" si="16"/>
        <v>0</v>
      </c>
      <c r="K189" s="99">
        <f t="shared" si="17"/>
        <v>-320519719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96</v>
      </c>
      <c r="H190" s="99">
        <f t="shared" si="15"/>
        <v>0</v>
      </c>
      <c r="I190" s="99">
        <f t="shared" si="13"/>
        <v>-288086400</v>
      </c>
      <c r="J190" s="99">
        <f t="shared" si="16"/>
        <v>0</v>
      </c>
      <c r="K190" s="99">
        <f t="shared" si="17"/>
        <v>-288086400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95</v>
      </c>
      <c r="H191" s="99">
        <f t="shared" si="15"/>
        <v>0</v>
      </c>
      <c r="I191" s="99">
        <f t="shared" si="13"/>
        <v>-262285500</v>
      </c>
      <c r="J191" s="99">
        <f t="shared" si="16"/>
        <v>0</v>
      </c>
      <c r="K191" s="99">
        <f t="shared" si="17"/>
        <v>-262285500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90</v>
      </c>
      <c r="H192" s="99">
        <f t="shared" si="15"/>
        <v>1</v>
      </c>
      <c r="I192" s="99">
        <f t="shared" si="13"/>
        <v>89000000</v>
      </c>
      <c r="J192" s="99">
        <f t="shared" si="16"/>
        <v>0</v>
      </c>
      <c r="K192" s="99">
        <f t="shared" si="17"/>
        <v>89000000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89</v>
      </c>
      <c r="H193" s="99">
        <f t="shared" si="15"/>
        <v>0</v>
      </c>
      <c r="I193" s="99">
        <f t="shared" si="13"/>
        <v>-1335000</v>
      </c>
      <c r="J193" s="99">
        <f t="shared" si="16"/>
        <v>0</v>
      </c>
      <c r="K193" s="99">
        <f t="shared" si="17"/>
        <v>-1335000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87</v>
      </c>
      <c r="H194" s="99">
        <f t="shared" si="15"/>
        <v>0</v>
      </c>
      <c r="I194" s="99">
        <f t="shared" si="13"/>
        <v>-86130000</v>
      </c>
      <c r="J194" s="99">
        <f t="shared" si="16"/>
        <v>0</v>
      </c>
      <c r="K194" s="99">
        <f t="shared" si="17"/>
        <v>-86130000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87</v>
      </c>
      <c r="H195" s="99">
        <f t="shared" si="15"/>
        <v>1</v>
      </c>
      <c r="I195" s="99">
        <f t="shared" si="13"/>
        <v>67338000</v>
      </c>
      <c r="J195" s="99">
        <f t="shared" si="16"/>
        <v>0</v>
      </c>
      <c r="K195" s="99">
        <f t="shared" si="17"/>
        <v>67338000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85</v>
      </c>
      <c r="H196" s="99">
        <f t="shared" si="15"/>
        <v>0</v>
      </c>
      <c r="I196" s="99">
        <f t="shared" si="13"/>
        <v>-63792500</v>
      </c>
      <c r="J196" s="99">
        <f t="shared" si="16"/>
        <v>0</v>
      </c>
      <c r="K196" s="99">
        <f t="shared" si="17"/>
        <v>-63792500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83</v>
      </c>
      <c r="H197" s="99">
        <f t="shared" si="15"/>
        <v>1</v>
      </c>
      <c r="I197" s="99">
        <f t="shared" si="13"/>
        <v>57400000</v>
      </c>
      <c r="J197" s="99">
        <f t="shared" si="16"/>
        <v>0</v>
      </c>
      <c r="K197" s="99">
        <f t="shared" si="17"/>
        <v>57400000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83</v>
      </c>
      <c r="H198" s="99">
        <f t="shared" si="15"/>
        <v>0</v>
      </c>
      <c r="I198" s="99">
        <f t="shared" si="13"/>
        <v>-8217000</v>
      </c>
      <c r="J198" s="99">
        <f t="shared" si="16"/>
        <v>0</v>
      </c>
      <c r="K198" s="99">
        <f t="shared" si="17"/>
        <v>-8217000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82</v>
      </c>
      <c r="H199" s="99">
        <f t="shared" si="15"/>
        <v>0</v>
      </c>
      <c r="I199" s="99">
        <f t="shared" si="13"/>
        <v>-16871500</v>
      </c>
      <c r="J199" s="99">
        <f t="shared" si="16"/>
        <v>0</v>
      </c>
      <c r="K199" s="99">
        <f t="shared" si="17"/>
        <v>-16871500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82</v>
      </c>
      <c r="H200" s="99">
        <f t="shared" si="15"/>
        <v>0</v>
      </c>
      <c r="I200" s="99">
        <f t="shared" si="13"/>
        <v>-7790000</v>
      </c>
      <c r="J200" s="99">
        <f t="shared" si="16"/>
        <v>0</v>
      </c>
      <c r="K200" s="99">
        <f t="shared" si="17"/>
        <v>-7790000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79</v>
      </c>
      <c r="H201" s="99">
        <f t="shared" si="15"/>
        <v>1</v>
      </c>
      <c r="I201" s="99">
        <f t="shared" si="13"/>
        <v>3794700000</v>
      </c>
      <c r="J201" s="99">
        <f t="shared" si="16"/>
        <v>0</v>
      </c>
      <c r="K201" s="99">
        <f t="shared" si="17"/>
        <v>3794700000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79</v>
      </c>
      <c r="H202" s="99">
        <f t="shared" si="15"/>
        <v>0</v>
      </c>
      <c r="I202" s="99">
        <f t="shared" si="13"/>
        <v>-237071100</v>
      </c>
      <c r="J202" s="99">
        <f t="shared" si="16"/>
        <v>0</v>
      </c>
      <c r="K202" s="99">
        <f t="shared" si="17"/>
        <v>-237071100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79</v>
      </c>
      <c r="H203" s="99">
        <f t="shared" si="15"/>
        <v>0</v>
      </c>
      <c r="I203" s="99">
        <f t="shared" si="13"/>
        <v>-395000</v>
      </c>
      <c r="J203" s="99">
        <f t="shared" si="16"/>
        <v>0</v>
      </c>
      <c r="K203" s="99">
        <f t="shared" si="17"/>
        <v>-395000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79</v>
      </c>
      <c r="H204" s="99">
        <f t="shared" si="15"/>
        <v>0</v>
      </c>
      <c r="I204" s="99">
        <f t="shared" si="13"/>
        <v>-2646500000</v>
      </c>
      <c r="J204" s="99">
        <f t="shared" si="16"/>
        <v>0</v>
      </c>
      <c r="K204" s="99">
        <f t="shared" si="17"/>
        <v>-2646500000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78</v>
      </c>
      <c r="H205" s="99">
        <f t="shared" si="15"/>
        <v>0</v>
      </c>
      <c r="I205" s="99">
        <f t="shared" si="13"/>
        <v>-969930000</v>
      </c>
      <c r="J205" s="99">
        <f t="shared" si="16"/>
        <v>0</v>
      </c>
      <c r="K205" s="99">
        <f t="shared" si="17"/>
        <v>-969930000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75</v>
      </c>
      <c r="H206" s="99">
        <f t="shared" si="15"/>
        <v>0</v>
      </c>
      <c r="I206" s="99">
        <f t="shared" si="13"/>
        <v>-1387500</v>
      </c>
      <c r="J206" s="99">
        <f t="shared" si="16"/>
        <v>0</v>
      </c>
      <c r="K206" s="99">
        <f t="shared" si="17"/>
        <v>-1387500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73</v>
      </c>
      <c r="H207" s="99">
        <f t="shared" si="15"/>
        <v>1</v>
      </c>
      <c r="I207" s="99">
        <f t="shared" si="13"/>
        <v>1042560</v>
      </c>
      <c r="J207" s="99">
        <f t="shared" ref="J207:J266" si="20">C207*(G207-H207)</f>
        <v>5102928</v>
      </c>
      <c r="K207" s="99">
        <f t="shared" si="17"/>
        <v>-4060368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72</v>
      </c>
      <c r="H208" s="99">
        <f t="shared" si="15"/>
        <v>1</v>
      </c>
      <c r="I208" s="99">
        <f t="shared" si="13"/>
        <v>58930000</v>
      </c>
      <c r="J208" s="99">
        <f t="shared" si="20"/>
        <v>0</v>
      </c>
      <c r="K208" s="99">
        <f t="shared" si="17"/>
        <v>58930000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70</v>
      </c>
      <c r="H209" s="99">
        <f t="shared" si="15"/>
        <v>0</v>
      </c>
      <c r="I209" s="99">
        <f t="shared" si="13"/>
        <v>-3670800</v>
      </c>
      <c r="J209" s="99">
        <f t="shared" si="20"/>
        <v>0</v>
      </c>
      <c r="K209" s="99">
        <f t="shared" si="17"/>
        <v>-3670800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69</v>
      </c>
      <c r="H210" s="99">
        <f t="shared" si="15"/>
        <v>0</v>
      </c>
      <c r="I210" s="99">
        <f t="shared" si="13"/>
        <v>-3525900</v>
      </c>
      <c r="J210" s="99">
        <f t="shared" si="20"/>
        <v>0</v>
      </c>
      <c r="K210" s="99">
        <f t="shared" si="17"/>
        <v>-3525900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68</v>
      </c>
      <c r="H211" s="99">
        <f t="shared" si="15"/>
        <v>0</v>
      </c>
      <c r="I211" s="99">
        <f t="shared" si="13"/>
        <v>-13600000</v>
      </c>
      <c r="J211" s="99">
        <f t="shared" si="20"/>
        <v>0</v>
      </c>
      <c r="K211" s="99">
        <f t="shared" si="17"/>
        <v>-13600000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67</v>
      </c>
      <c r="H212" s="99">
        <f t="shared" si="15"/>
        <v>0</v>
      </c>
      <c r="I212" s="99">
        <f t="shared" si="13"/>
        <v>-1876000</v>
      </c>
      <c r="J212" s="99">
        <f t="shared" si="20"/>
        <v>0</v>
      </c>
      <c r="K212" s="99">
        <f t="shared" si="17"/>
        <v>-1876000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66</v>
      </c>
      <c r="H213" s="99">
        <f t="shared" si="15"/>
        <v>0</v>
      </c>
      <c r="I213" s="99">
        <f t="shared" si="13"/>
        <v>-3900600</v>
      </c>
      <c r="J213" s="99">
        <f t="shared" si="20"/>
        <v>0</v>
      </c>
      <c r="K213" s="99">
        <f t="shared" si="17"/>
        <v>-3900600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65</v>
      </c>
      <c r="H214" s="99">
        <f t="shared" si="15"/>
        <v>0</v>
      </c>
      <c r="I214" s="99">
        <f t="shared" si="13"/>
        <v>-1950000</v>
      </c>
      <c r="J214" s="99">
        <f t="shared" si="20"/>
        <v>0</v>
      </c>
      <c r="K214" s="99">
        <f t="shared" si="17"/>
        <v>-1950000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65</v>
      </c>
      <c r="H215" s="99">
        <f t="shared" si="15"/>
        <v>0</v>
      </c>
      <c r="I215" s="99">
        <f t="shared" si="13"/>
        <v>-11570000</v>
      </c>
      <c r="J215" s="99">
        <f t="shared" si="20"/>
        <v>0</v>
      </c>
      <c r="K215" s="99">
        <f t="shared" si="17"/>
        <v>-11570000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64</v>
      </c>
      <c r="H216" s="99">
        <f t="shared" si="15"/>
        <v>0</v>
      </c>
      <c r="I216" s="99">
        <f t="shared" si="13"/>
        <v>-6119040</v>
      </c>
      <c r="J216" s="99">
        <f t="shared" si="20"/>
        <v>0</v>
      </c>
      <c r="K216" s="99">
        <f t="shared" si="17"/>
        <v>-6119040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61</v>
      </c>
      <c r="H217" s="99">
        <f t="shared" si="15"/>
        <v>0</v>
      </c>
      <c r="I217" s="99">
        <f t="shared" si="13"/>
        <v>-5124000</v>
      </c>
      <c r="J217" s="99">
        <f t="shared" si="20"/>
        <v>0</v>
      </c>
      <c r="K217" s="99">
        <f t="shared" si="17"/>
        <v>-5124000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59</v>
      </c>
      <c r="H218" s="99">
        <f t="shared" si="15"/>
        <v>0</v>
      </c>
      <c r="I218" s="99">
        <f t="shared" si="13"/>
        <v>-1947000</v>
      </c>
      <c r="J218" s="99">
        <f t="shared" si="20"/>
        <v>0</v>
      </c>
      <c r="K218" s="99">
        <f t="shared" si="17"/>
        <v>-1947000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56</v>
      </c>
      <c r="H219" s="99">
        <f t="shared" si="15"/>
        <v>1</v>
      </c>
      <c r="I219" s="99">
        <f t="shared" si="13"/>
        <v>85140000</v>
      </c>
      <c r="J219" s="99">
        <f t="shared" si="20"/>
        <v>0</v>
      </c>
      <c r="K219" s="99">
        <f t="shared" si="17"/>
        <v>85140000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55</v>
      </c>
      <c r="H220" s="99">
        <f t="shared" si="15"/>
        <v>0</v>
      </c>
      <c r="I220" s="99">
        <f t="shared" si="13"/>
        <v>-77038500</v>
      </c>
      <c r="J220" s="99">
        <f t="shared" si="20"/>
        <v>0</v>
      </c>
      <c r="K220" s="99">
        <f t="shared" si="17"/>
        <v>-77038500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55</v>
      </c>
      <c r="H221" s="99">
        <f t="shared" si="15"/>
        <v>0</v>
      </c>
      <c r="I221" s="99">
        <f t="shared" si="13"/>
        <v>-550000</v>
      </c>
      <c r="J221" s="99">
        <f t="shared" si="20"/>
        <v>0</v>
      </c>
      <c r="K221" s="99">
        <f t="shared" si="17"/>
        <v>-550000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55</v>
      </c>
      <c r="H222" s="99">
        <f t="shared" si="15"/>
        <v>0</v>
      </c>
      <c r="I222" s="99">
        <f t="shared" si="13"/>
        <v>-275000</v>
      </c>
      <c r="J222" s="99">
        <f t="shared" si="20"/>
        <v>-137500</v>
      </c>
      <c r="K222" s="99">
        <f t="shared" si="17"/>
        <v>-137500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49</v>
      </c>
      <c r="H223" s="99">
        <f t="shared" si="15"/>
        <v>0</v>
      </c>
      <c r="I223" s="99">
        <f t="shared" si="13"/>
        <v>-9310000</v>
      </c>
      <c r="J223" s="99">
        <f t="shared" si="20"/>
        <v>0</v>
      </c>
      <c r="K223" s="99">
        <f t="shared" si="17"/>
        <v>-9310000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42</v>
      </c>
      <c r="H224" s="99">
        <f t="shared" si="15"/>
        <v>1</v>
      </c>
      <c r="I224" s="99">
        <f t="shared" si="13"/>
        <v>78351</v>
      </c>
      <c r="J224" s="99">
        <f t="shared" si="20"/>
        <v>2663852</v>
      </c>
      <c r="K224" s="99">
        <f t="shared" si="17"/>
        <v>-2585501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36</v>
      </c>
      <c r="H225" s="99">
        <f t="shared" si="15"/>
        <v>1</v>
      </c>
      <c r="I225" s="99">
        <f t="shared" si="13"/>
        <v>175000000</v>
      </c>
      <c r="J225" s="99">
        <f t="shared" si="20"/>
        <v>0</v>
      </c>
      <c r="K225" s="99">
        <f t="shared" si="17"/>
        <v>175000000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35</v>
      </c>
      <c r="H226" s="99">
        <f t="shared" si="15"/>
        <v>0</v>
      </c>
      <c r="I226" s="99">
        <f t="shared" si="13"/>
        <v>-112000000</v>
      </c>
      <c r="J226" s="99">
        <f t="shared" si="20"/>
        <v>0</v>
      </c>
      <c r="K226" s="99">
        <f t="shared" si="17"/>
        <v>-112000000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35</v>
      </c>
      <c r="H227" s="99">
        <f t="shared" si="15"/>
        <v>1</v>
      </c>
      <c r="I227" s="99">
        <f t="shared" si="13"/>
        <v>81600000</v>
      </c>
      <c r="J227" s="99">
        <f t="shared" si="20"/>
        <v>0</v>
      </c>
      <c r="K227" s="99">
        <f t="shared" si="17"/>
        <v>81600000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33</v>
      </c>
      <c r="H228" s="99">
        <f t="shared" si="15"/>
        <v>0</v>
      </c>
      <c r="I228" s="99">
        <f t="shared" si="13"/>
        <v>-1650000</v>
      </c>
      <c r="J228" s="99">
        <f t="shared" si="20"/>
        <v>0</v>
      </c>
      <c r="K228" s="99">
        <f t="shared" si="17"/>
        <v>-1650000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32</v>
      </c>
      <c r="H229" s="99">
        <f t="shared" si="15"/>
        <v>0</v>
      </c>
      <c r="I229" s="99">
        <f t="shared" si="13"/>
        <v>-131222400</v>
      </c>
      <c r="J229" s="99">
        <f t="shared" si="20"/>
        <v>0</v>
      </c>
      <c r="K229" s="99">
        <f t="shared" si="17"/>
        <v>-131222400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28</v>
      </c>
      <c r="H230" s="99">
        <f t="shared" si="15"/>
        <v>1</v>
      </c>
      <c r="I230" s="99">
        <f t="shared" si="13"/>
        <v>261900000</v>
      </c>
      <c r="J230" s="99">
        <f t="shared" si="20"/>
        <v>0</v>
      </c>
      <c r="K230" s="99">
        <f t="shared" si="17"/>
        <v>261900000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28</v>
      </c>
      <c r="H231" s="99">
        <f t="shared" si="15"/>
        <v>0</v>
      </c>
      <c r="I231" s="99">
        <f t="shared" si="13"/>
        <v>-84025200</v>
      </c>
      <c r="J231" s="99">
        <f t="shared" si="20"/>
        <v>0</v>
      </c>
      <c r="K231" s="99">
        <f t="shared" si="17"/>
        <v>-84025200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27</v>
      </c>
      <c r="H232" s="99">
        <f t="shared" si="15"/>
        <v>0</v>
      </c>
      <c r="I232" s="99">
        <f t="shared" si="13"/>
        <v>-81024300</v>
      </c>
      <c r="J232" s="99">
        <f t="shared" si="20"/>
        <v>0</v>
      </c>
      <c r="K232" s="99">
        <f t="shared" si="17"/>
        <v>-81024300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27</v>
      </c>
      <c r="H233" s="99">
        <f t="shared" si="15"/>
        <v>0</v>
      </c>
      <c r="I233" s="99">
        <f t="shared" si="13"/>
        <v>-14985000</v>
      </c>
      <c r="J233" s="99">
        <f t="shared" si="20"/>
        <v>0</v>
      </c>
      <c r="K233" s="99">
        <f t="shared" si="17"/>
        <v>-14985000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26</v>
      </c>
      <c r="H234" s="99">
        <f t="shared" si="15"/>
        <v>0</v>
      </c>
      <c r="I234" s="99">
        <f t="shared" si="13"/>
        <v>-3597360</v>
      </c>
      <c r="J234" s="99">
        <f t="shared" si="20"/>
        <v>0</v>
      </c>
      <c r="K234" s="99">
        <f t="shared" si="17"/>
        <v>-3597360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25</v>
      </c>
      <c r="H235" s="99">
        <f t="shared" si="15"/>
        <v>0</v>
      </c>
      <c r="I235" s="99">
        <f t="shared" si="13"/>
        <v>-75022500</v>
      </c>
      <c r="J235" s="99">
        <f t="shared" si="20"/>
        <v>0</v>
      </c>
      <c r="K235" s="99">
        <f t="shared" si="17"/>
        <v>-75022500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23</v>
      </c>
      <c r="H236" s="99">
        <f t="shared" si="15"/>
        <v>0</v>
      </c>
      <c r="I236" s="99">
        <f t="shared" si="13"/>
        <v>-1265000</v>
      </c>
      <c r="J236" s="99">
        <f t="shared" si="20"/>
        <v>0</v>
      </c>
      <c r="K236" s="99">
        <f t="shared" si="17"/>
        <v>-1265000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19</v>
      </c>
      <c r="H237" s="99">
        <f t="shared" si="15"/>
        <v>1</v>
      </c>
      <c r="I237" s="99">
        <f t="shared" si="13"/>
        <v>108630000</v>
      </c>
      <c r="J237" s="99">
        <f t="shared" si="20"/>
        <v>0</v>
      </c>
      <c r="K237" s="99">
        <f t="shared" si="17"/>
        <v>108630000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17</v>
      </c>
      <c r="H238" s="99">
        <f t="shared" si="15"/>
        <v>0</v>
      </c>
      <c r="I238" s="99">
        <f t="shared" si="13"/>
        <v>-127500</v>
      </c>
      <c r="J238" s="99">
        <f t="shared" si="20"/>
        <v>0</v>
      </c>
      <c r="K238" s="99">
        <f t="shared" si="17"/>
        <v>-127500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16</v>
      </c>
      <c r="H239" s="99">
        <f t="shared" si="15"/>
        <v>0</v>
      </c>
      <c r="I239" s="99">
        <f t="shared" si="13"/>
        <v>-65576368</v>
      </c>
      <c r="J239" s="99">
        <f t="shared" si="20"/>
        <v>0</v>
      </c>
      <c r="K239" s="99">
        <f t="shared" si="17"/>
        <v>-65576368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16</v>
      </c>
      <c r="H240" s="99">
        <f t="shared" si="15"/>
        <v>0</v>
      </c>
      <c r="I240" s="99">
        <f t="shared" si="13"/>
        <v>-531600</v>
      </c>
      <c r="J240" s="99">
        <f t="shared" si="20"/>
        <v>0</v>
      </c>
      <c r="K240" s="99">
        <f t="shared" si="17"/>
        <v>-531600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16</v>
      </c>
      <c r="H241" s="99">
        <f t="shared" si="15"/>
        <v>0</v>
      </c>
      <c r="I241" s="99">
        <f t="shared" si="13"/>
        <v>-30320000</v>
      </c>
      <c r="J241" s="99">
        <f t="shared" si="20"/>
        <v>0</v>
      </c>
      <c r="K241" s="99">
        <f t="shared" si="17"/>
        <v>-30320000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9</v>
      </c>
      <c r="H242" s="99">
        <f t="shared" si="15"/>
        <v>1</v>
      </c>
      <c r="I242" s="99">
        <f t="shared" si="13"/>
        <v>20000000</v>
      </c>
      <c r="J242" s="99">
        <f t="shared" si="20"/>
        <v>0</v>
      </c>
      <c r="K242" s="99">
        <f t="shared" si="17"/>
        <v>20000000</v>
      </c>
    </row>
    <row r="243" spans="1:13">
      <c r="A243" s="99" t="s">
        <v>4475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7</v>
      </c>
      <c r="H243" s="99">
        <f t="shared" si="15"/>
        <v>0</v>
      </c>
      <c r="I243" s="99">
        <f t="shared" si="13"/>
        <v>-17500000</v>
      </c>
      <c r="J243" s="99">
        <f t="shared" si="20"/>
        <v>0</v>
      </c>
      <c r="K243" s="99">
        <f t="shared" si="17"/>
        <v>-17500000</v>
      </c>
    </row>
    <row r="244" spans="1:13">
      <c r="A244" s="99" t="s">
        <v>4486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5</v>
      </c>
      <c r="H244" s="99">
        <f t="shared" si="15"/>
        <v>1</v>
      </c>
      <c r="I244" s="99">
        <f t="shared" si="13"/>
        <v>4400000</v>
      </c>
      <c r="J244" s="99">
        <f t="shared" si="20"/>
        <v>0</v>
      </c>
      <c r="K244" s="99">
        <f t="shared" si="17"/>
        <v>4400000</v>
      </c>
    </row>
    <row r="245" spans="1:13">
      <c r="A245" s="99" t="s">
        <v>4494</v>
      </c>
      <c r="B245" s="18">
        <v>3000000</v>
      </c>
      <c r="C245" s="18">
        <v>0</v>
      </c>
      <c r="D245" s="18">
        <f t="shared" si="18"/>
        <v>3000000</v>
      </c>
      <c r="E245" s="99" t="s">
        <v>4496</v>
      </c>
      <c r="F245" s="99">
        <v>2</v>
      </c>
      <c r="G245" s="36">
        <f t="shared" si="21"/>
        <v>3</v>
      </c>
      <c r="H245" s="99">
        <f t="shared" si="15"/>
        <v>1</v>
      </c>
      <c r="I245" s="99">
        <f t="shared" si="13"/>
        <v>6000000</v>
      </c>
      <c r="J245" s="99">
        <f t="shared" si="20"/>
        <v>0</v>
      </c>
      <c r="K245" s="99">
        <f t="shared" si="17"/>
        <v>6000000</v>
      </c>
    </row>
    <row r="246" spans="1:13">
      <c r="A246" s="99" t="s">
        <v>4485</v>
      </c>
      <c r="B246" s="18">
        <v>-4040700</v>
      </c>
      <c r="C246" s="18">
        <v>0</v>
      </c>
      <c r="D246" s="18">
        <f t="shared" si="18"/>
        <v>-4040700</v>
      </c>
      <c r="E246" s="99" t="s">
        <v>4534</v>
      </c>
      <c r="F246" s="99">
        <v>0</v>
      </c>
      <c r="G246" s="36">
        <f t="shared" si="21"/>
        <v>1</v>
      </c>
      <c r="H246" s="99">
        <f t="shared" si="15"/>
        <v>0</v>
      </c>
      <c r="I246" s="99">
        <f t="shared" si="13"/>
        <v>-4040700</v>
      </c>
      <c r="J246" s="99">
        <f t="shared" si="20"/>
        <v>0</v>
      </c>
      <c r="K246" s="99">
        <f t="shared" si="17"/>
        <v>-4040700</v>
      </c>
    </row>
    <row r="247" spans="1:13">
      <c r="A247" s="99" t="s">
        <v>4485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1</v>
      </c>
      <c r="H247" s="99">
        <f t="shared" si="15"/>
        <v>1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557070</v>
      </c>
      <c r="C267" s="29">
        <f>SUM(C2:C256)</f>
        <v>7968789</v>
      </c>
      <c r="D267" s="29">
        <f>SUM(D2:D254)</f>
        <v>-7411719</v>
      </c>
      <c r="E267" s="11"/>
      <c r="F267" s="11"/>
      <c r="G267" s="11"/>
      <c r="H267" s="11"/>
      <c r="I267" s="29">
        <f>SUM(I2:I266)</f>
        <v>18816476321</v>
      </c>
      <c r="J267" s="29">
        <f>SUM(J2:J266)</f>
        <v>8631903906</v>
      </c>
      <c r="K267" s="29">
        <f>SUM(K2:K266)</f>
        <v>10184572415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19458610.4663909</v>
      </c>
      <c r="J270" s="29">
        <f>J267/G2</f>
        <v>8926477.6690796278</v>
      </c>
      <c r="K270" s="29">
        <f>K267/G2</f>
        <v>10532132.797311272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-6215080</v>
      </c>
      <c r="G274" t="s">
        <v>25</v>
      </c>
      <c r="J274">
        <f>J267/I267*1448696</f>
        <v>664577.38673688076</v>
      </c>
      <c r="K274">
        <f>K267/I267*1448696</f>
        <v>784118.61326311924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991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4234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992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994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993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993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997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4235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998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999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999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991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3855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3908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4212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4236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4237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4238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229</v>
      </c>
      <c r="AF19" s="26"/>
    </row>
    <row r="20" spans="1:32" ht="22.5" customHeight="1">
      <c r="A20" s="146" t="s">
        <v>4230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3855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4239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1" t="s">
        <v>4367</v>
      </c>
      <c r="N22" s="191">
        <f>547-$AD$19</f>
        <v>318</v>
      </c>
      <c r="O22" s="191">
        <v>0</v>
      </c>
      <c r="P22" s="191">
        <v>0</v>
      </c>
      <c r="Q22" s="191">
        <v>0</v>
      </c>
      <c r="R22" s="191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4292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4240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4241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1004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975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976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977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978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1002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979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980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981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972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974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996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1045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F22" sqref="F22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1213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10000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2859918.3601286169</v>
      </c>
      <c r="C8" s="99">
        <f>B2*B4*B5/(B1*B3)+B7/B6</f>
        <v>285.99183601286171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990081.63987138309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4" t="s">
        <v>1089</v>
      </c>
      <c r="R21" s="204"/>
      <c r="S21" s="204"/>
      <c r="T21" s="204"/>
      <c r="U21" s="96"/>
      <c r="V21" s="96"/>
      <c r="W21" s="96"/>
      <c r="X21" s="96"/>
      <c r="Y21" s="96"/>
      <c r="Z21" s="96"/>
    </row>
    <row r="22" spans="5:35">
      <c r="O22" s="99"/>
      <c r="P22" s="99"/>
      <c r="Q22" s="204"/>
      <c r="R22" s="204"/>
      <c r="S22" s="204"/>
      <c r="T22" s="204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05" t="s">
        <v>1090</v>
      </c>
      <c r="R23" s="206" t="s">
        <v>1091</v>
      </c>
      <c r="S23" s="205" t="s">
        <v>1092</v>
      </c>
      <c r="T23" s="207" t="s">
        <v>1093</v>
      </c>
      <c r="AD23" t="s">
        <v>25</v>
      </c>
    </row>
    <row r="24" spans="5:35">
      <c r="O24" s="99"/>
      <c r="P24" s="99"/>
      <c r="Q24" s="205"/>
      <c r="R24" s="206"/>
      <c r="S24" s="205"/>
      <c r="T24" s="207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3858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3859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3860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3861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3862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3863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3864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3865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3866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3867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3868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3869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3870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3871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3872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3873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3874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3875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3876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3877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3878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6"/>
  <sheetViews>
    <sheetView tabSelected="1" topLeftCell="M104" zoomScaleNormal="100" workbookViewId="0">
      <selection activeCell="S130" sqref="S13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4.8554687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-7411719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4506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70</v>
      </c>
      <c r="T20" s="169" t="s">
        <v>4320</v>
      </c>
      <c r="U20" s="169">
        <v>192.1</v>
      </c>
      <c r="V20" s="169">
        <f t="shared" ref="V20:V30" si="4">U20*(1+$N$81+$Q$15*S20/36500)</f>
        <v>204.56702684931511</v>
      </c>
      <c r="W20" s="32">
        <f t="shared" ref="W20:W30" si="5">V20*(1+$W$19/100)</f>
        <v>208.65836738630142</v>
      </c>
      <c r="X20" s="32">
        <f t="shared" ref="X20:X30" si="6">V20*(1+$X$19/100)</f>
        <v>212.74970792328773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240</v>
      </c>
      <c r="AM20" s="113">
        <f>AJ20*AL20</f>
        <v>4320000000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4521</v>
      </c>
      <c r="L21" s="117">
        <f>-N34</f>
        <v>60533811.311569192</v>
      </c>
      <c r="M21" s="169" t="s">
        <v>4312</v>
      </c>
      <c r="N21" s="113">
        <f t="shared" ref="N21:N30" si="7">O21*P21</f>
        <v>10553435</v>
      </c>
      <c r="O21" s="99">
        <v>64745</v>
      </c>
      <c r="P21" s="190">
        <f>P45</f>
        <v>163</v>
      </c>
      <c r="Q21" s="170">
        <v>1450345</v>
      </c>
      <c r="R21" s="169" t="s">
        <v>4316</v>
      </c>
      <c r="S21" s="196">
        <f>S20-36</f>
        <v>34</v>
      </c>
      <c r="T21" s="169" t="s">
        <v>4321</v>
      </c>
      <c r="U21" s="169">
        <v>313.7</v>
      </c>
      <c r="V21" s="169">
        <f t="shared" si="4"/>
        <v>325.39542356164384</v>
      </c>
      <c r="W21" s="32">
        <f t="shared" si="5"/>
        <v>331.90333203287673</v>
      </c>
      <c r="X21" s="32">
        <f t="shared" si="6"/>
        <v>338.41124050410963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239</v>
      </c>
      <c r="AM21" s="113">
        <f t="shared" ref="AM21:AM96" si="9">AJ21*AL21</f>
        <v>597500000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L62</f>
        <v>262351742.31156921</v>
      </c>
      <c r="G22" s="95">
        <f t="shared" si="0"/>
        <v>5622670.4046240747</v>
      </c>
      <c r="H22" s="11"/>
      <c r="I22" s="96"/>
      <c r="J22" s="96"/>
      <c r="K22" s="169" t="s">
        <v>4524</v>
      </c>
      <c r="L22" s="117">
        <f>-'آذر 97'!D41</f>
        <v>-739200</v>
      </c>
      <c r="M22" s="169" t="s">
        <v>4325</v>
      </c>
      <c r="N22" s="113">
        <f t="shared" si="7"/>
        <v>9139891.2000000011</v>
      </c>
      <c r="O22" s="99">
        <v>33504</v>
      </c>
      <c r="P22" s="190">
        <f>P48</f>
        <v>272.8</v>
      </c>
      <c r="Q22" s="170">
        <v>400069</v>
      </c>
      <c r="R22" s="169" t="s">
        <v>4322</v>
      </c>
      <c r="S22" s="196">
        <f>S21-1</f>
        <v>33</v>
      </c>
      <c r="T22" s="169" t="s">
        <v>4323</v>
      </c>
      <c r="U22" s="169">
        <v>314.8</v>
      </c>
      <c r="V22" s="169">
        <f t="shared" si="4"/>
        <v>326.29494356164389</v>
      </c>
      <c r="W22" s="32">
        <f t="shared" si="5"/>
        <v>332.82084243287676</v>
      </c>
      <c r="X22" s="32">
        <f t="shared" si="6"/>
        <v>339.34674130410968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238</v>
      </c>
      <c r="AM22" s="113">
        <f t="shared" si="9"/>
        <v>1904000000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40000</v>
      </c>
      <c r="M23" s="169" t="s">
        <v>4477</v>
      </c>
      <c r="N23" s="113">
        <f t="shared" si="7"/>
        <v>168537.59999999998</v>
      </c>
      <c r="O23" s="99">
        <v>399</v>
      </c>
      <c r="P23" s="190">
        <f>P47</f>
        <v>422.4</v>
      </c>
      <c r="Q23" s="170">
        <v>8690518</v>
      </c>
      <c r="R23" s="169" t="s">
        <v>4322</v>
      </c>
      <c r="S23" s="196">
        <f>S22</f>
        <v>33</v>
      </c>
      <c r="T23" s="169" t="s">
        <v>4324</v>
      </c>
      <c r="U23" s="169">
        <v>313</v>
      </c>
      <c r="V23" s="169">
        <f t="shared" si="4"/>
        <v>324.42921643835621</v>
      </c>
      <c r="W23" s="32">
        <f t="shared" si="5"/>
        <v>330.91780076712331</v>
      </c>
      <c r="X23" s="32">
        <f t="shared" si="6"/>
        <v>337.40638509589047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237</v>
      </c>
      <c r="AM23" s="113">
        <f t="shared" si="9"/>
        <v>-18853824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3556830.1999999997</v>
      </c>
      <c r="O24" s="99">
        <v>781</v>
      </c>
      <c r="P24" s="99">
        <f>P49</f>
        <v>4554.2</v>
      </c>
      <c r="Q24" s="170">
        <v>595156</v>
      </c>
      <c r="R24" s="169" t="s">
        <v>4412</v>
      </c>
      <c r="S24" s="197">
        <f>S23-16</f>
        <v>17</v>
      </c>
      <c r="T24" s="169" t="s">
        <v>4415</v>
      </c>
      <c r="U24" s="169">
        <v>5808.5</v>
      </c>
      <c r="V24" s="169">
        <f t="shared" si="4"/>
        <v>5949.3044054794527</v>
      </c>
      <c r="W24" s="32">
        <f t="shared" si="5"/>
        <v>6068.2904935890419</v>
      </c>
      <c r="X24" s="32">
        <f t="shared" si="6"/>
        <v>6187.2765816986312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236</v>
      </c>
      <c r="AM24" s="113">
        <f t="shared" si="9"/>
        <v>39058000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132947.5</v>
      </c>
      <c r="O25" s="69">
        <v>749</v>
      </c>
      <c r="P25" s="99">
        <f>P51</f>
        <v>177.5</v>
      </c>
      <c r="Q25" s="170">
        <v>142593</v>
      </c>
      <c r="R25" s="169" t="s">
        <v>4439</v>
      </c>
      <c r="S25" s="169">
        <f>S24-5</f>
        <v>12</v>
      </c>
      <c r="T25" s="169" t="s">
        <v>4448</v>
      </c>
      <c r="U25" s="169">
        <v>189.5</v>
      </c>
      <c r="V25" s="169">
        <f t="shared" si="4"/>
        <v>193.36683835616441</v>
      </c>
      <c r="W25" s="32">
        <f t="shared" si="5"/>
        <v>197.23417512328771</v>
      </c>
      <c r="X25" s="32">
        <f t="shared" si="6"/>
        <v>201.10151189041099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224</v>
      </c>
      <c r="AM25" s="113">
        <f t="shared" si="9"/>
        <v>-6457993248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10</v>
      </c>
      <c r="T26" s="19" t="s">
        <v>4463</v>
      </c>
      <c r="U26" s="169">
        <v>5474</v>
      </c>
      <c r="V26" s="169">
        <f t="shared" si="4"/>
        <v>5577.3011287671243</v>
      </c>
      <c r="W26" s="32">
        <f t="shared" si="5"/>
        <v>5688.8471513424665</v>
      </c>
      <c r="X26" s="32">
        <f t="shared" si="6"/>
        <v>5800.3931739178097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218</v>
      </c>
      <c r="AM26" s="113">
        <f t="shared" si="9"/>
        <v>4033000000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4508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10</v>
      </c>
      <c r="T27" s="19" t="s">
        <v>4464</v>
      </c>
      <c r="U27" s="169">
        <v>5349</v>
      </c>
      <c r="V27" s="169">
        <f t="shared" si="4"/>
        <v>5449.942224657535</v>
      </c>
      <c r="W27" s="32">
        <f t="shared" si="5"/>
        <v>5558.9410691506855</v>
      </c>
      <c r="X27" s="32">
        <f t="shared" si="6"/>
        <v>5667.9399136438369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217</v>
      </c>
      <c r="AM27" s="113">
        <f t="shared" si="9"/>
        <v>-4025350000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4471</v>
      </c>
      <c r="N28" s="113">
        <f t="shared" si="7"/>
        <v>922743</v>
      </c>
      <c r="O28" s="69">
        <v>5661</v>
      </c>
      <c r="P28" s="99">
        <f>P45</f>
        <v>163</v>
      </c>
      <c r="Q28" s="170">
        <v>1353959</v>
      </c>
      <c r="R28" s="169" t="s">
        <v>4459</v>
      </c>
      <c r="S28" s="208">
        <f>S27</f>
        <v>10</v>
      </c>
      <c r="T28" s="19" t="s">
        <v>4526</v>
      </c>
      <c r="U28" s="169">
        <v>192.2</v>
      </c>
      <c r="V28" s="169">
        <f t="shared" si="4"/>
        <v>195.82705095890412</v>
      </c>
      <c r="W28" s="32">
        <f t="shared" si="5"/>
        <v>199.74359197808221</v>
      </c>
      <c r="X28" s="32">
        <f t="shared" si="6"/>
        <v>203.66013299726029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216</v>
      </c>
      <c r="AM28" s="113">
        <f t="shared" si="9"/>
        <v>-14031576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1623415</v>
      </c>
      <c r="O29" s="36">
        <v>9146</v>
      </c>
      <c r="P29" s="99">
        <f>P51</f>
        <v>177.5</v>
      </c>
      <c r="Q29" s="170">
        <v>1799855</v>
      </c>
      <c r="R29" s="169" t="s">
        <v>4468</v>
      </c>
      <c r="S29" s="169">
        <f>S28-3</f>
        <v>7</v>
      </c>
      <c r="T29" s="19" t="s">
        <v>4469</v>
      </c>
      <c r="U29" s="169">
        <v>184.6</v>
      </c>
      <c r="V29" s="169">
        <f t="shared" si="4"/>
        <v>187.65879671232878</v>
      </c>
      <c r="W29" s="32">
        <f t="shared" si="5"/>
        <v>191.41197264657535</v>
      </c>
      <c r="X29" s="32">
        <f t="shared" si="6"/>
        <v>195.16514858082195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211</v>
      </c>
      <c r="AM29" s="113">
        <f t="shared" si="9"/>
        <v>1350400000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4480</v>
      </c>
      <c r="N30" s="113">
        <f t="shared" si="7"/>
        <v>168115.19999999998</v>
      </c>
      <c r="O30" s="36">
        <v>398</v>
      </c>
      <c r="P30" s="99">
        <f>P47</f>
        <v>422.4</v>
      </c>
      <c r="Q30" s="170">
        <v>146296</v>
      </c>
      <c r="R30" s="169" t="s">
        <v>4475</v>
      </c>
      <c r="S30" s="203">
        <f>S29-2</f>
        <v>5</v>
      </c>
      <c r="T30" s="169" t="s">
        <v>4476</v>
      </c>
      <c r="U30" s="169">
        <v>365</v>
      </c>
      <c r="V30" s="169">
        <f t="shared" si="4"/>
        <v>370.48800000000006</v>
      </c>
      <c r="W30" s="32">
        <f t="shared" si="5"/>
        <v>377.89776000000006</v>
      </c>
      <c r="X30" s="32">
        <f t="shared" si="6"/>
        <v>385.30752000000007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210</v>
      </c>
      <c r="AM30" s="113">
        <f t="shared" si="9"/>
        <v>-35700000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/>
      <c r="L31" s="117"/>
      <c r="M31" s="169"/>
      <c r="N31" s="113"/>
      <c r="O31" s="36"/>
      <c r="P31" s="99"/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205</v>
      </c>
      <c r="AM31" s="113">
        <f t="shared" si="9"/>
        <v>-1291500000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/>
      <c r="N32" s="113"/>
      <c r="P32" t="s">
        <v>25</v>
      </c>
      <c r="Q32" s="170">
        <f>SUM(N21:N25)-SUM(Q20:Q31)</f>
        <v>-3978498.4999999963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204</v>
      </c>
      <c r="AM32" s="113">
        <f t="shared" si="9"/>
        <v>-10611060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25</v>
      </c>
      <c r="L33" s="117"/>
      <c r="M33" s="169" t="s">
        <v>756</v>
      </c>
      <c r="N33" s="113">
        <v>3000000</v>
      </c>
      <c r="O33" t="s">
        <v>25</v>
      </c>
      <c r="P33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188</v>
      </c>
      <c r="AM33" s="113">
        <f t="shared" si="9"/>
        <v>3763271200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918</v>
      </c>
      <c r="L34" s="117">
        <v>4800000</v>
      </c>
      <c r="M34" s="169" t="s">
        <v>4152</v>
      </c>
      <c r="N34" s="113">
        <f>-S87</f>
        <v>-60533811.311569192</v>
      </c>
      <c r="O34" s="96" t="s">
        <v>25</v>
      </c>
      <c r="P34" s="96" t="s">
        <v>25</v>
      </c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188</v>
      </c>
      <c r="AM34" s="113">
        <f t="shared" si="9"/>
        <v>190719608</v>
      </c>
      <c r="AN34" s="99"/>
      <c r="AP34" s="96"/>
      <c r="AQ34" s="99">
        <v>4</v>
      </c>
      <c r="AR34" s="170" t="s">
        <v>4247</v>
      </c>
      <c r="AS34" s="99">
        <v>-9552</v>
      </c>
      <c r="AT34" s="99"/>
      <c r="AU34" s="99" t="s">
        <v>4541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/>
      <c r="L35" s="117"/>
      <c r="M35" s="169" t="s">
        <v>753</v>
      </c>
      <c r="N35" s="113">
        <v>500000</v>
      </c>
      <c r="O35" s="96"/>
      <c r="P35" s="96"/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176</v>
      </c>
      <c r="AM35" s="113">
        <f t="shared" si="9"/>
        <v>63360000</v>
      </c>
      <c r="AN35" s="99"/>
      <c r="AP35" s="96"/>
      <c r="AQ35" s="183"/>
      <c r="AR35" s="184" t="s">
        <v>4250</v>
      </c>
      <c r="AS35" s="183"/>
      <c r="AT35" s="183"/>
      <c r="AU35" s="183"/>
      <c r="AV35" s="184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1086</v>
      </c>
      <c r="L36" s="117">
        <f>65*P15</f>
        <v>247000000</v>
      </c>
      <c r="M36" s="169" t="s">
        <v>760</v>
      </c>
      <c r="N36" s="113">
        <v>1200000</v>
      </c>
      <c r="O36" t="s">
        <v>25</v>
      </c>
      <c r="P36" t="s">
        <v>25</v>
      </c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174</v>
      </c>
      <c r="AM36" s="113">
        <f t="shared" si="9"/>
        <v>-60900000</v>
      </c>
      <c r="AN36" s="99"/>
      <c r="AP36" s="96"/>
      <c r="AQ36" s="183"/>
      <c r="AR36" s="184" t="s">
        <v>4247</v>
      </c>
      <c r="AS36" s="183">
        <f>SUM(AS31:AS34)</f>
        <v>10114</v>
      </c>
      <c r="AT36" s="183" t="s">
        <v>4485</v>
      </c>
      <c r="AU36" s="183" t="s">
        <v>4266</v>
      </c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4490</v>
      </c>
      <c r="L37" s="117">
        <v>-50000000</v>
      </c>
      <c r="M37" s="73"/>
      <c r="N37" s="113"/>
      <c r="O37" s="96"/>
      <c r="P37" s="96"/>
      <c r="Q37" s="169">
        <v>0</v>
      </c>
      <c r="R37" s="169" t="s">
        <v>4175</v>
      </c>
      <c r="S37" s="169">
        <f>S50</f>
        <v>70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174</v>
      </c>
      <c r="AM37" s="113">
        <f t="shared" si="9"/>
        <v>174000</v>
      </c>
      <c r="AN37" s="99"/>
      <c r="AP37" s="96"/>
      <c r="AQ37" s="183"/>
      <c r="AR37" s="184"/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 t="s">
        <v>4336</v>
      </c>
      <c r="L38" s="117">
        <v>-3000000</v>
      </c>
      <c r="M38" s="169" t="s">
        <v>1086</v>
      </c>
      <c r="N38" s="113">
        <f>65*P15</f>
        <v>247000000</v>
      </c>
      <c r="O38" s="96"/>
      <c r="P38" s="96"/>
      <c r="Q38" s="170">
        <v>1734776</v>
      </c>
      <c r="R38" s="169" t="s">
        <v>4453</v>
      </c>
      <c r="S38" s="169">
        <f>S37-59</f>
        <v>11</v>
      </c>
      <c r="T38" s="195" t="s">
        <v>4454</v>
      </c>
      <c r="U38" s="169">
        <v>188.8</v>
      </c>
      <c r="V38" s="169">
        <f>U38*(1+$N$81+$Q$15*S38/36500)</f>
        <v>192.50772164383562</v>
      </c>
      <c r="W38" s="32">
        <f>V38*(1+$W$19/100)</f>
        <v>196.35787607671233</v>
      </c>
      <c r="X38" s="32">
        <f>V38*(1+$X$19/100)</f>
        <v>200.20803050958907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173</v>
      </c>
      <c r="AM38" s="113">
        <f t="shared" si="9"/>
        <v>5814530000</v>
      </c>
      <c r="AN38" s="99"/>
      <c r="AP38" s="96"/>
      <c r="AQ38" s="99"/>
      <c r="AR38" s="170"/>
      <c r="AS38" s="99"/>
      <c r="AT38" s="99"/>
      <c r="AU38" s="99"/>
      <c r="AV38" s="170"/>
      <c r="AW38" s="96"/>
      <c r="AX38" s="96"/>
      <c r="AY38" s="96"/>
      <c r="AZ38" s="96"/>
      <c r="BA38" s="96"/>
      <c r="BB38" s="96"/>
    </row>
    <row r="39" spans="1:54" ht="18.75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 t="s">
        <v>4529</v>
      </c>
      <c r="L39" s="117">
        <v>2000000</v>
      </c>
      <c r="M39" s="169" t="s">
        <v>4488</v>
      </c>
      <c r="N39" s="113">
        <v>-20000000</v>
      </c>
      <c r="O39" s="96"/>
      <c r="P39" s="96"/>
      <c r="Q39" s="170">
        <v>1049300</v>
      </c>
      <c r="R39" s="169" t="s">
        <v>4468</v>
      </c>
      <c r="S39" s="169">
        <f>S38-4</f>
        <v>7</v>
      </c>
      <c r="T39" s="195" t="s">
        <v>4470</v>
      </c>
      <c r="U39" s="169">
        <v>184.6</v>
      </c>
      <c r="V39" s="169">
        <f>U39*(1+$N$81+$Q$15*S39/36500)</f>
        <v>187.65879671232878</v>
      </c>
      <c r="W39" s="32">
        <f>V39*(1+$W$19/100)</f>
        <v>191.41197264657535</v>
      </c>
      <c r="X39" s="32">
        <f>V39*(1+$X$19/100)</f>
        <v>195.16514858082195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169</v>
      </c>
      <c r="AM39" s="113">
        <f t="shared" si="9"/>
        <v>-2636400000</v>
      </c>
      <c r="AN39" s="99"/>
      <c r="AP39" s="96"/>
      <c r="AQ39" s="99"/>
      <c r="AR39" s="170"/>
      <c r="AS39" s="99"/>
      <c r="AT39" s="180"/>
      <c r="AU39" s="99"/>
      <c r="AV39" s="170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169"/>
      <c r="L40" s="117"/>
      <c r="M40" s="169" t="s">
        <v>4489</v>
      </c>
      <c r="N40" s="113">
        <v>-50000000</v>
      </c>
      <c r="O40" s="96"/>
      <c r="P40" s="96"/>
      <c r="Q40" s="170">
        <v>145929</v>
      </c>
      <c r="R40" s="169" t="s">
        <v>4475</v>
      </c>
      <c r="S40" s="203">
        <f>S39-2</f>
        <v>5</v>
      </c>
      <c r="T40" s="194" t="s">
        <v>4479</v>
      </c>
      <c r="U40" s="169">
        <v>365</v>
      </c>
      <c r="V40" s="169">
        <f>U40*(1+$N$81+$Q$15*S40/36500)</f>
        <v>370.48800000000006</v>
      </c>
      <c r="W40" s="32">
        <f>V40*(1+$W$19/100)</f>
        <v>377.89776000000006</v>
      </c>
      <c r="X40" s="32">
        <f>V40*(1+$X$19/100)</f>
        <v>385.30752000000007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166</v>
      </c>
      <c r="AM40" s="113">
        <f t="shared" si="9"/>
        <v>1245000000</v>
      </c>
      <c r="AN40" s="99"/>
      <c r="AP40" s="96"/>
      <c r="AQ40" s="99"/>
      <c r="AR40" s="99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 t="s">
        <v>4435</v>
      </c>
      <c r="L41" s="117">
        <v>3000000</v>
      </c>
      <c r="M41" s="169" t="s">
        <v>4529</v>
      </c>
      <c r="N41" s="113">
        <v>2000000</v>
      </c>
      <c r="O41" s="96"/>
      <c r="P41" s="96"/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162</v>
      </c>
      <c r="AM41" s="113">
        <f t="shared" si="9"/>
        <v>-15876000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99"/>
      <c r="L42" s="117"/>
      <c r="M42" s="169" t="s">
        <v>4507</v>
      </c>
      <c r="N42" s="113">
        <v>0.2</v>
      </c>
      <c r="Q42" s="113">
        <f>SUM(N28:N30)-SUM(Q37:Q40)</f>
        <v>-215731.79999999981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161</v>
      </c>
      <c r="AM42" s="113">
        <f t="shared" si="9"/>
        <v>-4186000000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4473</v>
      </c>
      <c r="L43" s="117">
        <v>-3000000</v>
      </c>
      <c r="M43" s="169"/>
      <c r="N43" s="113"/>
      <c r="O43" s="99"/>
      <c r="P43" s="99"/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161</v>
      </c>
      <c r="AM43" s="113">
        <f t="shared" si="9"/>
        <v>4025000000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 t="s">
        <v>4491</v>
      </c>
      <c r="L44" s="117">
        <v>145929</v>
      </c>
      <c r="M44" s="32" t="s">
        <v>4410</v>
      </c>
      <c r="N44" s="113">
        <f t="shared" ref="N44:N51" si="13">O44*P44</f>
        <v>1970047.3</v>
      </c>
      <c r="O44" s="99">
        <v>611</v>
      </c>
      <c r="P44" s="99">
        <v>3224.3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160</v>
      </c>
      <c r="AM44" s="113">
        <f t="shared" si="9"/>
        <v>17600000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 t="s">
        <v>4528</v>
      </c>
      <c r="L45" s="117">
        <v>548000</v>
      </c>
      <c r="M45" s="169" t="s">
        <v>4182</v>
      </c>
      <c r="N45" s="113">
        <f t="shared" si="13"/>
        <v>178926730</v>
      </c>
      <c r="O45" s="99">
        <v>1097710</v>
      </c>
      <c r="P45" s="99">
        <v>163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159</v>
      </c>
      <c r="AM45" s="113">
        <f t="shared" si="9"/>
        <v>60420000</v>
      </c>
      <c r="AN45" s="99"/>
      <c r="AQ45" s="96"/>
      <c r="AR45" s="96"/>
      <c r="AS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4539</v>
      </c>
      <c r="N46" s="113">
        <f t="shared" si="13"/>
        <v>1648582</v>
      </c>
      <c r="O46" s="99">
        <v>10114</v>
      </c>
      <c r="P46" s="99">
        <f>P45</f>
        <v>163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152</v>
      </c>
      <c r="AM46" s="113">
        <f t="shared" si="9"/>
        <v>68400000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56"/>
      <c r="L47" s="117"/>
      <c r="M47" s="169" t="s">
        <v>4478</v>
      </c>
      <c r="N47" s="113">
        <f t="shared" si="13"/>
        <v>168115.19999999998</v>
      </c>
      <c r="O47" s="99">
        <v>398</v>
      </c>
      <c r="P47" s="99">
        <v>422.4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146</v>
      </c>
      <c r="AM47" s="113">
        <f t="shared" si="9"/>
        <v>408800000</v>
      </c>
      <c r="AN47" s="99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99"/>
      <c r="M48" s="169" t="s">
        <v>4307</v>
      </c>
      <c r="N48" s="113">
        <f t="shared" si="13"/>
        <v>8005861.6000000006</v>
      </c>
      <c r="O48" s="69">
        <v>29347</v>
      </c>
      <c r="P48" s="69">
        <v>272.8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145</v>
      </c>
      <c r="AM48" s="113">
        <f t="shared" si="9"/>
        <v>-217500000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99"/>
      <c r="M49" s="169" t="s">
        <v>4414</v>
      </c>
      <c r="N49" s="113">
        <f t="shared" si="13"/>
        <v>3493071.4</v>
      </c>
      <c r="O49" s="69">
        <v>767</v>
      </c>
      <c r="P49" s="69">
        <v>4554.2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f t="shared" ref="W49:W73" si="14">V49*(1+$W$19/100)</f>
        <v>0</v>
      </c>
      <c r="X49" s="32">
        <f t="shared" ref="X49:X73" si="15">V49*(1+$X$19/100)</f>
        <v>0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145</v>
      </c>
      <c r="AM49" s="113">
        <f t="shared" si="9"/>
        <v>442250000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99"/>
      <c r="M50" s="169" t="s">
        <v>4430</v>
      </c>
      <c r="N50" s="117">
        <f t="shared" si="13"/>
        <v>4250632.5</v>
      </c>
      <c r="O50" s="69">
        <v>10431</v>
      </c>
      <c r="P50" s="69">
        <v>407.5</v>
      </c>
      <c r="Q50" s="170">
        <v>184971545</v>
      </c>
      <c r="R50" s="169" t="s">
        <v>4175</v>
      </c>
      <c r="S50" s="196">
        <v>70</v>
      </c>
      <c r="T50" s="169" t="s">
        <v>4363</v>
      </c>
      <c r="U50" s="169">
        <v>192</v>
      </c>
      <c r="V50" s="99">
        <f t="shared" ref="V50:V73" si="16">U50*(1+$N$81+$Q$15*S50/36500)</f>
        <v>204.46053698630141</v>
      </c>
      <c r="W50" s="32">
        <f t="shared" si="14"/>
        <v>208.54974772602745</v>
      </c>
      <c r="X50" s="32">
        <f t="shared" si="15"/>
        <v>212.63895846575346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142</v>
      </c>
      <c r="AM50" s="113">
        <f t="shared" si="9"/>
        <v>-1178544904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99"/>
      <c r="M51" s="73" t="s">
        <v>4445</v>
      </c>
      <c r="N51" s="117">
        <f t="shared" si="13"/>
        <v>2321167.5</v>
      </c>
      <c r="O51" s="69">
        <v>13077</v>
      </c>
      <c r="P51" s="69">
        <v>177.5</v>
      </c>
      <c r="Q51" s="170">
        <v>1933623</v>
      </c>
      <c r="R51" s="169" t="s">
        <v>4264</v>
      </c>
      <c r="S51" s="196">
        <f>S50-21</f>
        <v>49</v>
      </c>
      <c r="T51" s="169" t="s">
        <v>4538</v>
      </c>
      <c r="U51" s="169">
        <v>190.3</v>
      </c>
      <c r="V51" s="99">
        <f t="shared" si="16"/>
        <v>199.58455452054795</v>
      </c>
      <c r="W51" s="32">
        <f t="shared" si="14"/>
        <v>203.57624561095892</v>
      </c>
      <c r="X51" s="32">
        <f t="shared" si="15"/>
        <v>207.56793670136989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140</v>
      </c>
      <c r="AM51" s="113">
        <f t="shared" si="9"/>
        <v>700000000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99"/>
      <c r="M52" s="73"/>
      <c r="N52" s="117"/>
      <c r="O52" s="122"/>
      <c r="P52" s="122"/>
      <c r="Q52" s="170">
        <v>9560464</v>
      </c>
      <c r="R52" s="169" t="s">
        <v>4310</v>
      </c>
      <c r="S52" s="196">
        <f>S51-11</f>
        <v>38</v>
      </c>
      <c r="T52" s="169" t="s">
        <v>4327</v>
      </c>
      <c r="U52" s="169">
        <v>214.57</v>
      </c>
      <c r="V52" s="99">
        <f t="shared" si="16"/>
        <v>223.22804646575344</v>
      </c>
      <c r="W52" s="32">
        <f t="shared" si="14"/>
        <v>227.69260739506851</v>
      </c>
      <c r="X52" s="32">
        <f t="shared" si="15"/>
        <v>232.15716832438358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126</v>
      </c>
      <c r="AM52" s="113">
        <f t="shared" si="9"/>
        <v>-11340000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1154</v>
      </c>
      <c r="N53" s="117">
        <v>14908</v>
      </c>
      <c r="O53" s="96" t="s">
        <v>25</v>
      </c>
      <c r="P53" t="s">
        <v>25</v>
      </c>
      <c r="Q53" s="170">
        <v>2000000</v>
      </c>
      <c r="R53" s="169" t="s">
        <v>4358</v>
      </c>
      <c r="S53" s="169">
        <f>S52-11</f>
        <v>27</v>
      </c>
      <c r="T53" s="169" t="s">
        <v>4362</v>
      </c>
      <c r="U53" s="169">
        <v>206.8</v>
      </c>
      <c r="V53" s="99">
        <f t="shared" si="16"/>
        <v>213.39946958904113</v>
      </c>
      <c r="W53" s="32">
        <f t="shared" si="14"/>
        <v>217.66745898082195</v>
      </c>
      <c r="X53" s="32">
        <f t="shared" si="15"/>
        <v>221.93544837260279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125</v>
      </c>
      <c r="AM53" s="113">
        <f t="shared" si="9"/>
        <v>700000000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99"/>
      <c r="L54" s="99"/>
      <c r="M54" s="169" t="s">
        <v>1155</v>
      </c>
      <c r="N54" s="117">
        <v>5282</v>
      </c>
      <c r="O54" s="96"/>
      <c r="Q54" s="170">
        <v>1457531</v>
      </c>
      <c r="R54" s="169" t="s">
        <v>4393</v>
      </c>
      <c r="S54" s="196">
        <f>S53-6</f>
        <v>21</v>
      </c>
      <c r="T54" s="169" t="s">
        <v>4394</v>
      </c>
      <c r="U54" s="169">
        <v>310</v>
      </c>
      <c r="V54" s="99">
        <f t="shared" si="16"/>
        <v>318.46597260273973</v>
      </c>
      <c r="W54" s="32">
        <f t="shared" si="14"/>
        <v>324.83529205479454</v>
      </c>
      <c r="X54" s="32">
        <f t="shared" si="15"/>
        <v>331.20461150684935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121</v>
      </c>
      <c r="AM54" s="113">
        <f t="shared" si="9"/>
        <v>90750000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O55" s="115"/>
      <c r="P55" s="115"/>
      <c r="Q55" s="170">
        <v>1429825</v>
      </c>
      <c r="R55" s="169" t="s">
        <v>4389</v>
      </c>
      <c r="S55" s="169">
        <f>S54-1</f>
        <v>20</v>
      </c>
      <c r="T55" s="169" t="s">
        <v>4399</v>
      </c>
      <c r="U55" s="169">
        <v>203.9</v>
      </c>
      <c r="V55" s="99">
        <f t="shared" si="16"/>
        <v>209.31200876712333</v>
      </c>
      <c r="W55" s="32">
        <f t="shared" si="14"/>
        <v>213.49824894246581</v>
      </c>
      <c r="X55" s="32">
        <f t="shared" si="15"/>
        <v>217.68448911780828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119</v>
      </c>
      <c r="AM55" s="171">
        <f t="shared" si="9"/>
        <v>-504798000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 t="s">
        <v>25</v>
      </c>
      <c r="L56" s="117"/>
      <c r="M56" s="169" t="s">
        <v>4183</v>
      </c>
      <c r="N56" s="113">
        <f>-O56*P56</f>
        <v>-13491999</v>
      </c>
      <c r="O56" s="99">
        <v>82773</v>
      </c>
      <c r="P56" s="99">
        <f>P45</f>
        <v>163</v>
      </c>
      <c r="Q56" s="170">
        <v>1420747</v>
      </c>
      <c r="R56" s="169" t="s">
        <v>4389</v>
      </c>
      <c r="S56" s="169">
        <f>S55</f>
        <v>20</v>
      </c>
      <c r="T56" s="169" t="s">
        <v>4401</v>
      </c>
      <c r="U56" s="169">
        <v>203.1</v>
      </c>
      <c r="V56" s="99">
        <f t="shared" si="16"/>
        <v>208.49077479452058</v>
      </c>
      <c r="W56" s="32">
        <f t="shared" si="14"/>
        <v>212.66059029041099</v>
      </c>
      <c r="X56" s="32">
        <f t="shared" si="15"/>
        <v>216.83040578630141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117</v>
      </c>
      <c r="AM56" s="113">
        <f t="shared" si="9"/>
        <v>479700000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Q57" s="170">
        <v>2864946</v>
      </c>
      <c r="R57" s="169" t="s">
        <v>4389</v>
      </c>
      <c r="S57" s="198">
        <f>S56</f>
        <v>20</v>
      </c>
      <c r="T57" s="169" t="s">
        <v>4403</v>
      </c>
      <c r="U57" s="169">
        <v>303.60000000000002</v>
      </c>
      <c r="V57" s="99">
        <f t="shared" si="16"/>
        <v>311.65829260273978</v>
      </c>
      <c r="W57" s="32">
        <f t="shared" si="14"/>
        <v>317.89145845479459</v>
      </c>
      <c r="X57" s="32">
        <f t="shared" si="15"/>
        <v>324.1246243068494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117</v>
      </c>
      <c r="AM57" s="113">
        <f t="shared" si="9"/>
        <v>479700000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4472</v>
      </c>
      <c r="N58" s="113">
        <f>-S88</f>
        <v>-794576.05104239995</v>
      </c>
      <c r="Q58" s="170">
        <v>2412371</v>
      </c>
      <c r="R58" s="169" t="s">
        <v>4391</v>
      </c>
      <c r="S58" s="169">
        <f>S57-1</f>
        <v>19</v>
      </c>
      <c r="T58" s="169" t="s">
        <v>4409</v>
      </c>
      <c r="U58" s="169">
        <v>3930</v>
      </c>
      <c r="V58" s="99">
        <f t="shared" si="16"/>
        <v>4031.2970958904111</v>
      </c>
      <c r="W58" s="32">
        <f t="shared" si="14"/>
        <v>4111.9230378082193</v>
      </c>
      <c r="X58" s="32">
        <f t="shared" si="15"/>
        <v>4192.5489797260279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116</v>
      </c>
      <c r="AM58" s="113">
        <f t="shared" si="9"/>
        <v>91640000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 t="s">
        <v>4493</v>
      </c>
      <c r="N59" s="113">
        <f>-S89</f>
        <v>-2877300.6395363999</v>
      </c>
      <c r="Q59" s="170">
        <v>2010885</v>
      </c>
      <c r="R59" s="169" t="s">
        <v>4412</v>
      </c>
      <c r="S59" s="169">
        <f>S58-2</f>
        <v>17</v>
      </c>
      <c r="T59" s="169" t="s">
        <v>4418</v>
      </c>
      <c r="U59" s="169">
        <v>202.1</v>
      </c>
      <c r="V59" s="99">
        <f t="shared" si="16"/>
        <v>206.99912547945209</v>
      </c>
      <c r="W59" s="32">
        <f t="shared" si="14"/>
        <v>211.13910798904112</v>
      </c>
      <c r="X59" s="32">
        <f t="shared" si="15"/>
        <v>215.27909049863018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101</v>
      </c>
      <c r="AM59" s="173">
        <f t="shared" si="9"/>
        <v>-390365000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14</v>
      </c>
      <c r="T60" s="169" t="s">
        <v>4442</v>
      </c>
      <c r="U60" s="169">
        <v>5560.3</v>
      </c>
      <c r="V60" s="99">
        <f t="shared" si="16"/>
        <v>5682.2914586301385</v>
      </c>
      <c r="W60" s="32">
        <f t="shared" si="14"/>
        <v>5795.9372878027416</v>
      </c>
      <c r="X60" s="32">
        <f t="shared" si="15"/>
        <v>5909.5831169753446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95</v>
      </c>
      <c r="AM60" s="113">
        <f t="shared" si="9"/>
        <v>1786000000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Q61" s="170">
        <v>4629290</v>
      </c>
      <c r="R61" s="169" t="s">
        <v>4423</v>
      </c>
      <c r="S61" s="198">
        <f>S60</f>
        <v>14</v>
      </c>
      <c r="T61" s="169" t="s">
        <v>4431</v>
      </c>
      <c r="U61" s="169">
        <v>441.8</v>
      </c>
      <c r="V61" s="99">
        <f t="shared" si="16"/>
        <v>451.49297095890421</v>
      </c>
      <c r="W61" s="32">
        <f t="shared" si="14"/>
        <v>460.52283037808229</v>
      </c>
      <c r="X61" s="32">
        <f t="shared" si="15"/>
        <v>469.55268979726037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92</v>
      </c>
      <c r="AM61" s="113">
        <f t="shared" si="9"/>
        <v>46000000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598</v>
      </c>
      <c r="L62" s="113">
        <f>SUM(L16:L48)</f>
        <v>262351742.31156921</v>
      </c>
      <c r="M62" s="169"/>
      <c r="N62" s="113">
        <f>SUM(N16:N58)</f>
        <v>328587207.03738844</v>
      </c>
      <c r="Q62" s="170">
        <v>4489908</v>
      </c>
      <c r="R62" s="169" t="s">
        <v>4423</v>
      </c>
      <c r="S62" s="169">
        <f>S61</f>
        <v>14</v>
      </c>
      <c r="T62" s="169" t="s">
        <v>4429</v>
      </c>
      <c r="U62" s="169">
        <v>292.60000000000002</v>
      </c>
      <c r="V62" s="99">
        <f t="shared" si="16"/>
        <v>299.01956383561651</v>
      </c>
      <c r="W62" s="32">
        <f t="shared" si="14"/>
        <v>304.99995511232885</v>
      </c>
      <c r="X62" s="32">
        <f t="shared" si="15"/>
        <v>310.98034638904119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91</v>
      </c>
      <c r="AM62" s="113">
        <f t="shared" si="9"/>
        <v>18200000</v>
      </c>
      <c r="AN62" s="20"/>
    </row>
    <row r="63" spans="1:40">
      <c r="E63" s="26"/>
      <c r="K63" s="169" t="s">
        <v>599</v>
      </c>
      <c r="L63" s="113">
        <f>L16+L17+L23</f>
        <v>63202</v>
      </c>
      <c r="M63" s="169"/>
      <c r="N63" s="113">
        <f>N16+N17+N35</f>
        <v>-6898414</v>
      </c>
      <c r="Q63" s="170">
        <v>1971103</v>
      </c>
      <c r="R63" s="169" t="s">
        <v>4437</v>
      </c>
      <c r="S63" s="169">
        <f>S62-1</f>
        <v>13</v>
      </c>
      <c r="T63" s="169" t="s">
        <v>4438</v>
      </c>
      <c r="U63" s="169">
        <v>196.2</v>
      </c>
      <c r="V63" s="99">
        <f t="shared" si="16"/>
        <v>200.35406465753425</v>
      </c>
      <c r="W63" s="32">
        <f t="shared" si="14"/>
        <v>204.36114595068494</v>
      </c>
      <c r="X63" s="32">
        <f t="shared" si="15"/>
        <v>208.36822724383563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88</v>
      </c>
      <c r="AM63" s="113">
        <f t="shared" si="9"/>
        <v>88000000</v>
      </c>
      <c r="AN63" s="20"/>
    </row>
    <row r="64" spans="1:40">
      <c r="E64" s="26"/>
      <c r="K64" s="56" t="s">
        <v>716</v>
      </c>
      <c r="L64" s="1">
        <f>L62+N7</f>
        <v>332351742.31156921</v>
      </c>
      <c r="M64" s="113"/>
      <c r="N64" s="169"/>
      <c r="O64" s="115"/>
      <c r="P64" s="115"/>
      <c r="Q64" s="170">
        <v>1000913</v>
      </c>
      <c r="R64" s="169" t="s">
        <v>4439</v>
      </c>
      <c r="S64" s="169">
        <f>S63-1</f>
        <v>12</v>
      </c>
      <c r="T64" s="169" t="s">
        <v>4444</v>
      </c>
      <c r="U64" s="169">
        <v>191.3</v>
      </c>
      <c r="V64" s="99">
        <f t="shared" si="16"/>
        <v>195.20356821917812</v>
      </c>
      <c r="W64" s="32">
        <f t="shared" si="14"/>
        <v>199.10763958356168</v>
      </c>
      <c r="X64" s="32">
        <f t="shared" si="15"/>
        <v>203.01171094794526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85</v>
      </c>
      <c r="AM64" s="113">
        <f t="shared" si="9"/>
        <v>110500000</v>
      </c>
      <c r="AN64" s="20"/>
    </row>
    <row r="65" spans="1:47">
      <c r="O65" s="96"/>
      <c r="P65" s="96"/>
      <c r="Q65" s="170">
        <v>157443</v>
      </c>
      <c r="R65" s="169" t="s">
        <v>4439</v>
      </c>
      <c r="S65" s="169">
        <f>S64</f>
        <v>12</v>
      </c>
      <c r="T65" s="169" t="s">
        <v>4456</v>
      </c>
      <c r="U65" s="169">
        <v>189.5</v>
      </c>
      <c r="V65" s="99">
        <f t="shared" si="16"/>
        <v>193.36683835616441</v>
      </c>
      <c r="W65" s="32">
        <f t="shared" si="14"/>
        <v>197.23417512328771</v>
      </c>
      <c r="X65" s="32">
        <f t="shared" si="15"/>
        <v>201.10151189041099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85</v>
      </c>
      <c r="AM65" s="113">
        <f t="shared" si="9"/>
        <v>84575000</v>
      </c>
      <c r="AN65" s="20"/>
    </row>
    <row r="66" spans="1:47">
      <c r="M66" s="25"/>
      <c r="O66" t="s">
        <v>25</v>
      </c>
      <c r="Q66" s="170">
        <v>1330173</v>
      </c>
      <c r="R66" s="169" t="s">
        <v>4459</v>
      </c>
      <c r="S66" s="169">
        <f>S65-2</f>
        <v>10</v>
      </c>
      <c r="T66" s="169" t="s">
        <v>4460</v>
      </c>
      <c r="U66" s="169">
        <v>188.1</v>
      </c>
      <c r="V66" s="99">
        <f t="shared" si="16"/>
        <v>191.64967890410961</v>
      </c>
      <c r="W66" s="32">
        <f t="shared" si="14"/>
        <v>195.48267248219179</v>
      </c>
      <c r="X66" s="32">
        <f t="shared" si="15"/>
        <v>199.315666060274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83</v>
      </c>
      <c r="AM66" s="113">
        <f t="shared" si="9"/>
        <v>1079000000</v>
      </c>
      <c r="AN66" s="20"/>
    </row>
    <row r="67" spans="1:47">
      <c r="A67" t="s">
        <v>25</v>
      </c>
      <c r="F67" t="s">
        <v>310</v>
      </c>
      <c r="G67" t="s">
        <v>4102</v>
      </c>
      <c r="M67" s="25" t="s">
        <v>4083</v>
      </c>
      <c r="P67" t="s">
        <v>25</v>
      </c>
      <c r="Q67" s="170">
        <v>1049856</v>
      </c>
      <c r="R67" s="169" t="s">
        <v>4468</v>
      </c>
      <c r="S67" s="208">
        <f>S66-3</f>
        <v>7</v>
      </c>
      <c r="T67" s="169" t="s">
        <v>4527</v>
      </c>
      <c r="U67" s="169">
        <v>184.5</v>
      </c>
      <c r="V67" s="99">
        <f t="shared" si="16"/>
        <v>187.55713972602743</v>
      </c>
      <c r="W67" s="32">
        <f t="shared" si="14"/>
        <v>191.30828252054798</v>
      </c>
      <c r="X67" s="32">
        <f t="shared" si="15"/>
        <v>195.05942531506852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81</v>
      </c>
      <c r="AM67" s="113">
        <f t="shared" si="9"/>
        <v>-251100000</v>
      </c>
      <c r="AN67" s="20"/>
    </row>
    <row r="68" spans="1:47">
      <c r="F68" t="s">
        <v>4106</v>
      </c>
      <c r="G68" t="s">
        <v>4101</v>
      </c>
      <c r="M68" s="178"/>
      <c r="O68" s="22"/>
      <c r="Q68" s="170">
        <v>1783234</v>
      </c>
      <c r="R68" s="169" t="s">
        <v>4475</v>
      </c>
      <c r="S68" s="169">
        <f>S67-2</f>
        <v>5</v>
      </c>
      <c r="T68" s="169" t="s">
        <v>4481</v>
      </c>
      <c r="U68" s="169">
        <v>177.5</v>
      </c>
      <c r="V68" s="99">
        <f t="shared" si="16"/>
        <v>180.16882191780823</v>
      </c>
      <c r="W68" s="32">
        <f t="shared" si="14"/>
        <v>183.77219835616441</v>
      </c>
      <c r="X68" s="32">
        <f t="shared" si="15"/>
        <v>187.37557479452056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78</v>
      </c>
      <c r="AM68" s="113">
        <f t="shared" si="9"/>
        <v>3559920000</v>
      </c>
      <c r="AN68" s="20"/>
    </row>
    <row r="69" spans="1:47">
      <c r="F69" t="s">
        <v>4107</v>
      </c>
      <c r="G69" t="s">
        <v>4103</v>
      </c>
      <c r="M69" s="122"/>
      <c r="O69" t="s">
        <v>25</v>
      </c>
      <c r="P69" t="s">
        <v>25</v>
      </c>
      <c r="Q69" s="170">
        <v>3076452</v>
      </c>
      <c r="R69" s="169" t="s">
        <v>4475</v>
      </c>
      <c r="S69" s="169">
        <f>S68</f>
        <v>5</v>
      </c>
      <c r="T69" s="169" t="s">
        <v>4482</v>
      </c>
      <c r="U69" s="169">
        <v>173.4</v>
      </c>
      <c r="V69" s="99">
        <f t="shared" si="16"/>
        <v>176.00717589041099</v>
      </c>
      <c r="W69" s="32">
        <f t="shared" si="14"/>
        <v>179.52731940821923</v>
      </c>
      <c r="X69" s="32">
        <f t="shared" si="15"/>
        <v>183.04746292602744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77</v>
      </c>
      <c r="AM69" s="113">
        <f t="shared" si="9"/>
        <v>2579500000</v>
      </c>
      <c r="AN69" s="20"/>
    </row>
    <row r="70" spans="1:47">
      <c r="G70" t="s">
        <v>4104</v>
      </c>
      <c r="M70" s="122" t="s">
        <v>4432</v>
      </c>
      <c r="O70" s="114"/>
      <c r="Q70" s="170">
        <v>1904396</v>
      </c>
      <c r="R70" s="169" t="s">
        <v>4475</v>
      </c>
      <c r="S70" s="203">
        <f>S69</f>
        <v>5</v>
      </c>
      <c r="T70" s="169" t="s">
        <v>4487</v>
      </c>
      <c r="U70" s="169">
        <v>4861</v>
      </c>
      <c r="V70" s="99">
        <f t="shared" si="16"/>
        <v>4934.08813150685</v>
      </c>
      <c r="W70" s="32">
        <f t="shared" si="14"/>
        <v>5032.7698941369872</v>
      </c>
      <c r="X70" s="32">
        <f t="shared" si="15"/>
        <v>5131.4516567671244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76</v>
      </c>
      <c r="AM70" s="117">
        <f t="shared" si="9"/>
        <v>912000000</v>
      </c>
      <c r="AN70" s="20"/>
    </row>
    <row r="71" spans="1:47">
      <c r="G71" t="s">
        <v>4105</v>
      </c>
      <c r="M71" s="122" t="s">
        <v>4492</v>
      </c>
      <c r="N71" s="96"/>
      <c r="Q71" s="170">
        <v>145929</v>
      </c>
      <c r="R71" s="169" t="s">
        <v>4475</v>
      </c>
      <c r="S71" s="203">
        <f>S70</f>
        <v>5</v>
      </c>
      <c r="T71" s="169" t="s">
        <v>4479</v>
      </c>
      <c r="U71" s="169">
        <v>365</v>
      </c>
      <c r="V71" s="99">
        <f t="shared" si="16"/>
        <v>370.48800000000006</v>
      </c>
      <c r="W71" s="32">
        <f t="shared" si="14"/>
        <v>377.89776000000006</v>
      </c>
      <c r="X71" s="32">
        <f t="shared" si="15"/>
        <v>385.30752000000007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75</v>
      </c>
      <c r="AM71" s="117">
        <f t="shared" si="9"/>
        <v>1162500000</v>
      </c>
      <c r="AN71" s="20"/>
    </row>
    <row r="72" spans="1:47">
      <c r="G72" t="s">
        <v>4109</v>
      </c>
      <c r="M72" s="96"/>
      <c r="N72" s="96"/>
      <c r="P72" t="s">
        <v>25</v>
      </c>
      <c r="Q72" s="170">
        <v>1826179</v>
      </c>
      <c r="R72" s="169" t="s">
        <v>4485</v>
      </c>
      <c r="S72" s="169">
        <f>S71-5</f>
        <v>0</v>
      </c>
      <c r="T72" s="73" t="s">
        <v>4542</v>
      </c>
      <c r="U72" s="169">
        <v>190.3</v>
      </c>
      <c r="V72" s="99">
        <f t="shared" si="16"/>
        <v>192.43136000000004</v>
      </c>
      <c r="W72" s="32">
        <f t="shared" si="14"/>
        <v>196.27998720000005</v>
      </c>
      <c r="X72" s="32">
        <f t="shared" si="15"/>
        <v>200.12861440000006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71</v>
      </c>
      <c r="AM72" s="117">
        <f t="shared" si="9"/>
        <v>10650000</v>
      </c>
      <c r="AN72" s="20"/>
    </row>
    <row r="73" spans="1:47">
      <c r="G73" t="s">
        <v>4108</v>
      </c>
      <c r="M73" s="96"/>
      <c r="N73" s="96"/>
      <c r="P73" s="115"/>
      <c r="Q73" s="170">
        <v>894383</v>
      </c>
      <c r="R73" s="169" t="s">
        <v>4485</v>
      </c>
      <c r="S73" s="169">
        <f>S72</f>
        <v>0</v>
      </c>
      <c r="T73" s="73" t="s">
        <v>4540</v>
      </c>
      <c r="U73" s="169">
        <v>162.1</v>
      </c>
      <c r="V73" s="99">
        <f t="shared" si="16"/>
        <v>163.91552000000001</v>
      </c>
      <c r="W73" s="32">
        <f t="shared" si="14"/>
        <v>167.19383040000002</v>
      </c>
      <c r="X73" s="32">
        <f t="shared" si="15"/>
        <v>170.47214080000003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70</v>
      </c>
      <c r="AM73" s="182">
        <f t="shared" si="9"/>
        <v>2030000000</v>
      </c>
      <c r="AN73" s="181" t="s">
        <v>4189</v>
      </c>
    </row>
    <row r="74" spans="1:47">
      <c r="M74" s="96"/>
      <c r="N74" s="96"/>
      <c r="P74" s="115" t="s">
        <v>25</v>
      </c>
      <c r="Q74" s="170"/>
      <c r="R74" s="169"/>
      <c r="S74" s="169"/>
      <c r="T74" s="73"/>
      <c r="U74" s="169"/>
      <c r="V74" s="99"/>
      <c r="W74" s="32"/>
      <c r="X74" s="32"/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55</v>
      </c>
      <c r="AM74" s="117">
        <f t="shared" si="9"/>
        <v>-7150000</v>
      </c>
      <c r="AN74" s="20" t="s">
        <v>4215</v>
      </c>
    </row>
    <row r="75" spans="1:47">
      <c r="M75" s="96">
        <f>O45+O46+O21+O28-O56</f>
        <v>1095457</v>
      </c>
      <c r="N75" s="113">
        <f>M75*P45</f>
        <v>178559491</v>
      </c>
      <c r="O75" t="s">
        <v>25</v>
      </c>
      <c r="P75" s="115"/>
      <c r="Q75" s="170"/>
      <c r="R75" s="169"/>
      <c r="S75" s="169"/>
      <c r="T75" s="169"/>
      <c r="U75" s="169"/>
      <c r="V75" s="99"/>
      <c r="W75" s="32"/>
      <c r="X75" s="32"/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48</v>
      </c>
      <c r="AM75" s="117">
        <f>AJ75*AL75</f>
        <v>11136000</v>
      </c>
      <c r="AN75" s="20" t="s">
        <v>4270</v>
      </c>
    </row>
    <row r="76" spans="1:47">
      <c r="D76" s="3"/>
      <c r="E76" s="11" t="s">
        <v>304</v>
      </c>
      <c r="M76" t="s">
        <v>4278</v>
      </c>
      <c r="N76" t="s">
        <v>4275</v>
      </c>
      <c r="P76" s="115"/>
      <c r="Q76" s="113">
        <f>SUM(N44:N51)-SUM(Q50:Q75)</f>
        <v>-35531026.5</v>
      </c>
      <c r="R76" s="112"/>
      <c r="S76" s="112"/>
      <c r="T76" s="112"/>
      <c r="U76" s="169"/>
      <c r="V76" s="99" t="s">
        <v>25</v>
      </c>
      <c r="W76" s="32"/>
      <c r="X76" s="32"/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46</v>
      </c>
      <c r="AM76" s="117">
        <f t="shared" si="9"/>
        <v>-7820000</v>
      </c>
      <c r="AN76" s="20"/>
    </row>
    <row r="77" spans="1:47">
      <c r="D77" s="1" t="s">
        <v>305</v>
      </c>
      <c r="E77" s="1">
        <v>70000</v>
      </c>
      <c r="N77" t="s">
        <v>25</v>
      </c>
      <c r="P77" s="115"/>
      <c r="Q77" s="26"/>
      <c r="R77" s="185"/>
      <c r="S77" s="185"/>
      <c r="T77" t="s">
        <v>25</v>
      </c>
      <c r="U77" s="96" t="s">
        <v>25</v>
      </c>
      <c r="V77" s="96" t="s">
        <v>25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43</v>
      </c>
      <c r="AM77" s="117">
        <f t="shared" si="9"/>
        <v>-12900000</v>
      </c>
      <c r="AN77" s="20"/>
    </row>
    <row r="78" spans="1:47">
      <c r="D78" s="1" t="s">
        <v>321</v>
      </c>
      <c r="E78" s="1">
        <v>100000</v>
      </c>
      <c r="P78" s="115"/>
      <c r="R78" t="s">
        <v>25</v>
      </c>
      <c r="T78" t="s">
        <v>25</v>
      </c>
      <c r="U78" s="96" t="s">
        <v>25</v>
      </c>
      <c r="V78" s="96" t="s">
        <v>25</v>
      </c>
      <c r="W78" s="96" t="s">
        <v>25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40</v>
      </c>
      <c r="AM78" s="117">
        <f t="shared" si="9"/>
        <v>-456000000</v>
      </c>
      <c r="AN78" s="20"/>
    </row>
    <row r="79" spans="1:47">
      <c r="D79" s="1" t="s">
        <v>306</v>
      </c>
      <c r="E79" s="1">
        <v>80000</v>
      </c>
      <c r="M79" t="s">
        <v>949</v>
      </c>
      <c r="N79">
        <v>6.3E-3</v>
      </c>
      <c r="P79" s="115"/>
      <c r="Q79" t="s">
        <v>25</v>
      </c>
      <c r="R79" t="s">
        <v>25</v>
      </c>
      <c r="T79" t="s">
        <v>25</v>
      </c>
      <c r="U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27</v>
      </c>
      <c r="AM79" s="117">
        <f>AJ79*AL79</f>
        <v>-270000000</v>
      </c>
      <c r="AN79" s="20"/>
    </row>
    <row r="80" spans="1:47">
      <c r="D80" s="31" t="s">
        <v>307</v>
      </c>
      <c r="E80" s="1">
        <v>150000</v>
      </c>
      <c r="M80" t="s">
        <v>61</v>
      </c>
      <c r="N80">
        <v>4.8999999999999998E-3</v>
      </c>
      <c r="P80" s="115"/>
      <c r="Q80" t="s">
        <v>25</v>
      </c>
      <c r="S80" t="s">
        <v>25</v>
      </c>
      <c r="T80" t="s">
        <v>25</v>
      </c>
      <c r="U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26</v>
      </c>
      <c r="AM80" s="117">
        <f>AJ80*AL80</f>
        <v>-63700000</v>
      </c>
      <c r="AN80" s="20"/>
      <c r="AS80" s="96"/>
      <c r="AU80"/>
    </row>
    <row r="81" spans="4:52">
      <c r="D81" s="31" t="s">
        <v>308</v>
      </c>
      <c r="E81" s="1">
        <v>300000</v>
      </c>
      <c r="M81" t="s">
        <v>6</v>
      </c>
      <c r="N81">
        <f>N79+N80</f>
        <v>1.12E-2</v>
      </c>
      <c r="P81" s="115"/>
      <c r="V81" s="96"/>
      <c r="W81"/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21</v>
      </c>
      <c r="AM81" s="117">
        <f t="shared" si="9"/>
        <v>-9577701</v>
      </c>
      <c r="AN81" s="20"/>
      <c r="AS81" s="96"/>
      <c r="AU81"/>
    </row>
    <row r="82" spans="4:52">
      <c r="D82" s="31" t="s">
        <v>309</v>
      </c>
      <c r="E82" s="1">
        <v>100000</v>
      </c>
      <c r="O82" t="s">
        <v>25</v>
      </c>
      <c r="P82" t="s">
        <v>25</v>
      </c>
      <c r="V82" s="96"/>
      <c r="W8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20</v>
      </c>
      <c r="AM82" s="117">
        <f t="shared" si="9"/>
        <v>-10000000</v>
      </c>
      <c r="AN82" s="20"/>
      <c r="AO82" t="s">
        <v>25</v>
      </c>
      <c r="AW82" t="s">
        <v>25</v>
      </c>
    </row>
    <row r="83" spans="4:52">
      <c r="D83" s="31" t="s">
        <v>310</v>
      </c>
      <c r="E83" s="1">
        <v>200000</v>
      </c>
      <c r="Q83" s="99" t="s">
        <v>4511</v>
      </c>
      <c r="R83" s="99" t="s">
        <v>4513</v>
      </c>
      <c r="S83" s="99"/>
      <c r="T83" s="99" t="s">
        <v>4514</v>
      </c>
      <c r="U83" s="99"/>
      <c r="V83" s="99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18</v>
      </c>
      <c r="AM83" s="117">
        <f t="shared" si="9"/>
        <v>-112218660</v>
      </c>
      <c r="AN83" s="20"/>
      <c r="AQ83" t="s">
        <v>25</v>
      </c>
      <c r="AR83" t="s">
        <v>25</v>
      </c>
    </row>
    <row r="84" spans="4:52">
      <c r="D84" s="18" t="s">
        <v>311</v>
      </c>
      <c r="E84" s="18">
        <v>300000</v>
      </c>
      <c r="Q84" s="113">
        <v>1000</v>
      </c>
      <c r="R84" s="99">
        <v>0.25</v>
      </c>
      <c r="S84" s="99"/>
      <c r="T84" s="99">
        <f>1-R84</f>
        <v>0.75</v>
      </c>
      <c r="U84" s="99"/>
      <c r="V84" s="99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15</v>
      </c>
      <c r="AM84" s="117">
        <f t="shared" si="9"/>
        <v>29264355</v>
      </c>
      <c r="AN84" s="20"/>
      <c r="AZ84" t="s">
        <v>25</v>
      </c>
    </row>
    <row r="85" spans="4:52">
      <c r="D85" s="32" t="s">
        <v>312</v>
      </c>
      <c r="E85" s="1">
        <v>200000</v>
      </c>
      <c r="Q85" s="169" t="s">
        <v>4497</v>
      </c>
      <c r="R85" s="169" t="s">
        <v>4516</v>
      </c>
      <c r="S85" s="169" t="s">
        <v>4520</v>
      </c>
      <c r="T85" s="169" t="s">
        <v>180</v>
      </c>
      <c r="U85" s="169" t="s">
        <v>4512</v>
      </c>
      <c r="V85" s="56" t="s">
        <v>4515</v>
      </c>
      <c r="X85" s="11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11</v>
      </c>
      <c r="AM85" s="117">
        <f t="shared" si="9"/>
        <v>6600000</v>
      </c>
      <c r="AN85" s="20"/>
    </row>
    <row r="86" spans="4:52">
      <c r="D86" s="32" t="s">
        <v>313</v>
      </c>
      <c r="E86" s="1">
        <v>20000</v>
      </c>
      <c r="M86" s="199" t="s">
        <v>4474</v>
      </c>
      <c r="P86" t="s">
        <v>25</v>
      </c>
      <c r="Q86" s="169" t="s">
        <v>751</v>
      </c>
      <c r="R86" s="113">
        <v>719930</v>
      </c>
      <c r="S86" s="113">
        <f>R86*$U$102</f>
        <v>165043028.39785197</v>
      </c>
      <c r="T86" s="169" t="s">
        <v>4510</v>
      </c>
      <c r="U86" s="169">
        <f>$Q$84*$T$84*S86/$R$110</f>
        <v>539.94749999999999</v>
      </c>
      <c r="V86" s="95">
        <f>S86+U86</f>
        <v>165043568.34535196</v>
      </c>
      <c r="X86" s="163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4475</v>
      </c>
      <c r="AJ86" s="117">
        <v>7500000</v>
      </c>
      <c r="AK86" s="20">
        <v>2</v>
      </c>
      <c r="AL86" s="99">
        <f t="shared" si="17"/>
        <v>6</v>
      </c>
      <c r="AM86" s="117">
        <f t="shared" si="9"/>
        <v>45000000</v>
      </c>
      <c r="AN86" s="20"/>
      <c r="AV86" t="s">
        <v>25</v>
      </c>
    </row>
    <row r="87" spans="4:52">
      <c r="D87" s="32" t="s">
        <v>315</v>
      </c>
      <c r="E87" s="1">
        <v>50000</v>
      </c>
      <c r="Q87" s="169" t="s">
        <v>4499</v>
      </c>
      <c r="R87" s="113">
        <v>264053</v>
      </c>
      <c r="S87" s="113">
        <f>R87*$U$102</f>
        <v>60533811.311569192</v>
      </c>
      <c r="T87" s="169" t="s">
        <v>4510</v>
      </c>
      <c r="U87" s="169">
        <f>$Q$84*$T$84*S87/$R$110+Q84*R84</f>
        <v>448.03975000000003</v>
      </c>
      <c r="V87" s="95">
        <f>S87+U87</f>
        <v>60534259.351319194</v>
      </c>
      <c r="X87" s="115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4486</v>
      </c>
      <c r="AJ87" s="117">
        <v>-587816</v>
      </c>
      <c r="AK87" s="20">
        <v>3</v>
      </c>
      <c r="AL87" s="99">
        <f t="shared" si="17"/>
        <v>4</v>
      </c>
      <c r="AM87" s="117">
        <f t="shared" si="9"/>
        <v>-2351264</v>
      </c>
      <c r="AN87" s="20"/>
    </row>
    <row r="88" spans="4:52">
      <c r="D88" s="32" t="s">
        <v>316</v>
      </c>
      <c r="E88" s="1">
        <v>90000</v>
      </c>
      <c r="Q88" s="169" t="s">
        <v>1087</v>
      </c>
      <c r="R88" s="113">
        <v>3466</v>
      </c>
      <c r="S88" s="113">
        <f>R88*$U$102</f>
        <v>794576.05104239995</v>
      </c>
      <c r="T88" s="169" t="s">
        <v>4510</v>
      </c>
      <c r="U88" s="169">
        <f>$Q$84*$T$84*S88/$R$110</f>
        <v>2.5994999999999999</v>
      </c>
      <c r="V88" s="95">
        <f>S88+U88</f>
        <v>794578.65054239996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4485</v>
      </c>
      <c r="AJ88" s="117">
        <v>-907489</v>
      </c>
      <c r="AK88" s="20">
        <v>0</v>
      </c>
      <c r="AL88" s="99">
        <f>AL89+AK88</f>
        <v>1</v>
      </c>
      <c r="AM88" s="117">
        <f t="shared" si="9"/>
        <v>-907489</v>
      </c>
      <c r="AN88" s="20"/>
      <c r="AP88" t="s">
        <v>25</v>
      </c>
      <c r="AQ88" t="s">
        <v>25</v>
      </c>
      <c r="AU88" s="96" t="s">
        <v>25</v>
      </c>
    </row>
    <row r="89" spans="4:52">
      <c r="D89" s="32" t="s">
        <v>317</v>
      </c>
      <c r="E89" s="1">
        <v>50000</v>
      </c>
      <c r="Q89" s="169" t="s">
        <v>4498</v>
      </c>
      <c r="R89" s="113">
        <v>12551</v>
      </c>
      <c r="S89" s="113">
        <f>R89*$U$102</f>
        <v>2877300.6395363999</v>
      </c>
      <c r="T89" s="169" t="s">
        <v>4510</v>
      </c>
      <c r="U89" s="169">
        <f>$Q$84*$T$84*S89/$R$110</f>
        <v>9.4132499999999997</v>
      </c>
      <c r="V89" s="95">
        <f>S89+U89</f>
        <v>2877310.0527864001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4485</v>
      </c>
      <c r="AJ89" s="117">
        <v>2450000</v>
      </c>
      <c r="AK89" s="20">
        <v>1</v>
      </c>
      <c r="AL89" s="99">
        <f t="shared" si="17"/>
        <v>1</v>
      </c>
      <c r="AM89" s="117">
        <f t="shared" si="9"/>
        <v>2450000</v>
      </c>
      <c r="AN89" s="20" t="s">
        <v>4535</v>
      </c>
      <c r="AU89" s="96" t="s">
        <v>25</v>
      </c>
    </row>
    <row r="90" spans="4:52">
      <c r="D90" s="32" t="s">
        <v>327</v>
      </c>
      <c r="E90" s="1">
        <v>150000</v>
      </c>
      <c r="Q90" s="169"/>
      <c r="R90" s="169"/>
      <c r="S90" s="169"/>
      <c r="T90" s="169"/>
      <c r="U90" s="169"/>
      <c r="V90" s="99"/>
      <c r="X90" s="115"/>
      <c r="Y90" s="115"/>
      <c r="Z90" s="115"/>
      <c r="AA90" s="115"/>
      <c r="AB90" s="115"/>
      <c r="AC90" s="115"/>
      <c r="AD90" s="115"/>
      <c r="AE90"/>
      <c r="AG90" s="115"/>
      <c r="AH90" s="20"/>
      <c r="AI90" s="117"/>
      <c r="AJ90" s="117"/>
      <c r="AK90" s="20"/>
      <c r="AL90" s="99">
        <f t="shared" si="17"/>
        <v>0</v>
      </c>
      <c r="AM90" s="117">
        <f t="shared" si="9"/>
        <v>0</v>
      </c>
      <c r="AN90" s="20"/>
      <c r="AP90" t="s">
        <v>25</v>
      </c>
      <c r="AQ90" t="s">
        <v>25</v>
      </c>
      <c r="AV90" t="s">
        <v>25</v>
      </c>
    </row>
    <row r="91" spans="4:52">
      <c r="D91" s="32" t="s">
        <v>318</v>
      </c>
      <c r="E91" s="1">
        <v>15000</v>
      </c>
      <c r="Q91" s="169"/>
      <c r="R91" s="169"/>
      <c r="S91" s="169"/>
      <c r="T91" s="169"/>
      <c r="U91" s="169"/>
      <c r="V91" s="169"/>
      <c r="W91" s="115" t="s">
        <v>25</v>
      </c>
      <c r="X91" s="96"/>
      <c r="Y91" s="115"/>
      <c r="Z91" s="115"/>
      <c r="AA91" s="115"/>
      <c r="AE91"/>
      <c r="AG91" s="96"/>
      <c r="AH91" s="20"/>
      <c r="AI91" s="117"/>
      <c r="AJ91" s="117"/>
      <c r="AK91" s="20"/>
      <c r="AL91" s="99">
        <f t="shared" si="17"/>
        <v>0</v>
      </c>
      <c r="AM91" s="117">
        <f t="shared" si="9"/>
        <v>0</v>
      </c>
      <c r="AN91" s="20"/>
    </row>
    <row r="92" spans="4:52">
      <c r="D92" s="32" t="s">
        <v>319</v>
      </c>
      <c r="E92" s="1">
        <v>20000</v>
      </c>
      <c r="Q92" s="169"/>
      <c r="R92" s="169"/>
      <c r="S92" s="169"/>
      <c r="T92" s="169"/>
      <c r="U92" s="169"/>
      <c r="V92" s="169"/>
      <c r="W92" s="115"/>
      <c r="X92" s="96"/>
      <c r="Y92" s="115"/>
      <c r="Z92" s="115"/>
      <c r="AA92" s="115"/>
      <c r="AE92"/>
      <c r="AG92" s="96"/>
      <c r="AH92" s="20"/>
      <c r="AI92" s="117"/>
      <c r="AJ92" s="117"/>
      <c r="AK92" s="20"/>
      <c r="AL92" s="99">
        <f t="shared" si="17"/>
        <v>0</v>
      </c>
      <c r="AM92" s="117">
        <f t="shared" si="9"/>
        <v>0</v>
      </c>
      <c r="AN92" s="20"/>
      <c r="AT92" s="96" t="s">
        <v>25</v>
      </c>
    </row>
    <row r="93" spans="4:52">
      <c r="D93" s="32" t="s">
        <v>320</v>
      </c>
      <c r="E93" s="1">
        <v>40000</v>
      </c>
      <c r="Q93" s="99"/>
      <c r="R93" s="99"/>
      <c r="S93" s="99"/>
      <c r="T93" s="99" t="s">
        <v>25</v>
      </c>
      <c r="U93" s="99"/>
      <c r="V93" s="99"/>
      <c r="W93" s="115"/>
      <c r="X93" s="96"/>
      <c r="Y93" s="115"/>
      <c r="Z93" s="115"/>
      <c r="AA93" s="115"/>
      <c r="AE93"/>
      <c r="AG93" s="96"/>
      <c r="AH93" s="20"/>
      <c r="AI93" s="117"/>
      <c r="AJ93" s="117"/>
      <c r="AK93" s="20"/>
      <c r="AL93" s="99">
        <f>AL94+AK93</f>
        <v>0</v>
      </c>
      <c r="AM93" s="117">
        <f t="shared" si="9"/>
        <v>0</v>
      </c>
      <c r="AN93" s="20"/>
    </row>
    <row r="94" spans="4:52">
      <c r="D94" s="32" t="s">
        <v>322</v>
      </c>
      <c r="E94" s="1">
        <v>150000</v>
      </c>
      <c r="P94" s="115"/>
      <c r="Q94" s="99"/>
      <c r="R94" s="99"/>
      <c r="S94" s="99"/>
      <c r="T94" s="99"/>
      <c r="U94" s="99"/>
      <c r="V94" s="99"/>
      <c r="W94" s="115"/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P95" s="128"/>
      <c r="Q95" s="99"/>
      <c r="R95" s="99"/>
      <c r="S95" s="99"/>
      <c r="T95" s="99"/>
      <c r="U95" s="99"/>
      <c r="V95" s="9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P96" s="128"/>
      <c r="Q96" s="96"/>
      <c r="R96" s="96"/>
      <c r="S96" s="96"/>
      <c r="T96" s="96"/>
      <c r="V96" s="96"/>
      <c r="X96" s="115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0">
      <c r="D97" s="2" t="s">
        <v>478</v>
      </c>
      <c r="E97" s="3">
        <v>1083333</v>
      </c>
      <c r="P97" s="115"/>
      <c r="Q97" s="96"/>
      <c r="R97" s="96"/>
      <c r="S97" s="96"/>
      <c r="T97" s="96"/>
      <c r="V97" s="96"/>
      <c r="AH97" s="99"/>
      <c r="AI97" s="99"/>
      <c r="AJ97" s="95">
        <f>SUM(AJ20:AJ95)</f>
        <v>202189100</v>
      </c>
      <c r="AK97" s="99"/>
      <c r="AL97" s="99"/>
      <c r="AM97" s="95">
        <f>SUM(AM20:AM96)</f>
        <v>22187079437</v>
      </c>
      <c r="AN97" s="95">
        <f>AM97*AN100/31</f>
        <v>14314244.798064517</v>
      </c>
    </row>
    <row r="98" spans="4:40">
      <c r="D98" s="2"/>
      <c r="E98" s="3"/>
      <c r="H98" s="96"/>
      <c r="Q98" s="96"/>
      <c r="R98" s="96"/>
      <c r="S98" s="96"/>
      <c r="T98" s="96" t="s">
        <v>25</v>
      </c>
      <c r="V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0">
      <c r="D99" s="2"/>
      <c r="E99" s="3"/>
      <c r="O99" s="115"/>
      <c r="Q99" s="96"/>
      <c r="R99" s="96"/>
      <c r="S99" s="96"/>
      <c r="T99" s="96"/>
      <c r="V99" s="96"/>
      <c r="AH99" s="99"/>
      <c r="AI99" s="99"/>
      <c r="AJ99" s="99"/>
      <c r="AK99" s="99"/>
      <c r="AL99" s="99"/>
      <c r="AM99" s="99"/>
      <c r="AN99" s="99"/>
    </row>
    <row r="100" spans="4:40">
      <c r="D100" s="2" t="s">
        <v>6</v>
      </c>
      <c r="E100" s="3">
        <f>SUM(E77:E98)</f>
        <v>3383333</v>
      </c>
      <c r="K100" s="48" t="s">
        <v>788</v>
      </c>
      <c r="L100" s="48" t="s">
        <v>476</v>
      </c>
      <c r="O100" s="115"/>
      <c r="Q100" s="96"/>
      <c r="R100" s="96"/>
      <c r="S100" s="96"/>
      <c r="T100" s="96"/>
      <c r="V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0" ht="30">
      <c r="D101" s="2" t="s">
        <v>328</v>
      </c>
      <c r="E101" s="3">
        <f>E100/30</f>
        <v>112777.76666666666</v>
      </c>
      <c r="K101" s="47">
        <v>700000</v>
      </c>
      <c r="L101" s="48" t="s">
        <v>1039</v>
      </c>
      <c r="Q101" s="36" t="s">
        <v>4502</v>
      </c>
      <c r="R101" s="95">
        <f>SUM(N44:N51)</f>
        <v>200784207.5</v>
      </c>
      <c r="T101" s="113" t="s">
        <v>4518</v>
      </c>
      <c r="U101" s="56">
        <v>1000000</v>
      </c>
      <c r="V101" s="96"/>
      <c r="AH101" s="99"/>
      <c r="AI101" s="99"/>
      <c r="AJ101" s="99"/>
      <c r="AK101" s="99"/>
      <c r="AL101" s="99"/>
      <c r="AM101" s="99"/>
      <c r="AN101" s="99"/>
    </row>
    <row r="102" spans="4:40">
      <c r="K102" s="47">
        <v>500000</v>
      </c>
      <c r="L102" s="48" t="s">
        <v>479</v>
      </c>
      <c r="Q102" s="99" t="s">
        <v>4500</v>
      </c>
      <c r="R102" s="95">
        <f>SUM(N21:N25)</f>
        <v>23551641.500000004</v>
      </c>
      <c r="T102" s="169" t="s">
        <v>4517</v>
      </c>
      <c r="U102" s="113">
        <f>R110/U101</f>
        <v>229.24871639999998</v>
      </c>
      <c r="V102" s="96"/>
      <c r="AH102" s="99"/>
      <c r="AI102" s="99" t="s">
        <v>4064</v>
      </c>
      <c r="AJ102" s="95">
        <f>AJ97+AN97</f>
        <v>216503344.79806453</v>
      </c>
      <c r="AK102" s="99"/>
      <c r="AL102" s="99"/>
      <c r="AM102" s="99"/>
      <c r="AN102" s="99"/>
    </row>
    <row r="103" spans="4:40">
      <c r="K103" s="47">
        <v>180000</v>
      </c>
      <c r="L103" s="48" t="s">
        <v>558</v>
      </c>
      <c r="Q103" s="99" t="s">
        <v>4501</v>
      </c>
      <c r="R103" s="95">
        <f>SUM(N28:N30)</f>
        <v>2714273.2</v>
      </c>
      <c r="T103" s="169"/>
      <c r="U103" s="169"/>
      <c r="V103" s="96"/>
      <c r="AI103" t="s">
        <v>4067</v>
      </c>
      <c r="AJ103" s="114">
        <f>SUM(N42:N51)-N46</f>
        <v>199135625.69999999</v>
      </c>
    </row>
    <row r="104" spans="4:40">
      <c r="K104" s="47">
        <v>0</v>
      </c>
      <c r="L104" s="48" t="s">
        <v>784</v>
      </c>
      <c r="Q104" s="99" t="s">
        <v>4503</v>
      </c>
      <c r="R104" s="95">
        <f>N42</f>
        <v>0.2</v>
      </c>
      <c r="T104" s="169"/>
      <c r="U104" s="169"/>
      <c r="V104" s="96"/>
      <c r="AI104" t="s">
        <v>4139</v>
      </c>
      <c r="AJ104" s="114">
        <f>AJ103-AJ97</f>
        <v>-3053474.3000000119</v>
      </c>
    </row>
    <row r="105" spans="4:40">
      <c r="K105" s="47">
        <v>0</v>
      </c>
      <c r="L105" s="48" t="s">
        <v>785</v>
      </c>
      <c r="Q105" s="99" t="s">
        <v>4504</v>
      </c>
      <c r="R105" s="95">
        <f>N20</f>
        <v>0</v>
      </c>
      <c r="T105" s="169"/>
      <c r="U105" s="169"/>
      <c r="V105" s="96"/>
      <c r="AI105" t="s">
        <v>943</v>
      </c>
      <c r="AJ105" s="114">
        <f>AN97</f>
        <v>14314244.798064517</v>
      </c>
    </row>
    <row r="106" spans="4:40">
      <c r="K106" s="47">
        <v>500000</v>
      </c>
      <c r="L106" s="48" t="s">
        <v>786</v>
      </c>
      <c r="Q106" s="99" t="s">
        <v>4505</v>
      </c>
      <c r="R106" s="95">
        <f>N27</f>
        <v>0</v>
      </c>
      <c r="T106" s="169"/>
      <c r="U106" s="169"/>
      <c r="V106" s="96"/>
      <c r="AI106" t="s">
        <v>4068</v>
      </c>
      <c r="AJ106" s="114">
        <f>AJ103-AJ102</f>
        <v>-17367719.098064542</v>
      </c>
    </row>
    <row r="107" spans="4:40">
      <c r="K107" s="47">
        <v>75000</v>
      </c>
      <c r="L107" s="48" t="s">
        <v>787</v>
      </c>
      <c r="Q107" s="99" t="s">
        <v>4519</v>
      </c>
      <c r="R107" s="95">
        <v>550000</v>
      </c>
      <c r="T107" s="169"/>
      <c r="U107" s="169"/>
      <c r="V107" s="96"/>
    </row>
    <row r="108" spans="4:40">
      <c r="K108" s="47">
        <v>0</v>
      </c>
      <c r="L108" s="48" t="s">
        <v>789</v>
      </c>
      <c r="Q108" s="99" t="s">
        <v>4536</v>
      </c>
      <c r="R108" s="95">
        <v>1648594</v>
      </c>
      <c r="T108" s="169"/>
      <c r="U108" s="169"/>
      <c r="V108" s="96"/>
      <c r="AJ108" t="s">
        <v>25</v>
      </c>
    </row>
    <row r="109" spans="4:40">
      <c r="K109" s="47">
        <v>500000</v>
      </c>
      <c r="L109" s="48" t="s">
        <v>564</v>
      </c>
      <c r="Q109" s="99"/>
      <c r="R109" s="99"/>
      <c r="T109" s="169"/>
      <c r="U109" s="169"/>
      <c r="V109" s="96"/>
    </row>
    <row r="110" spans="4:40">
      <c r="K110" s="47">
        <v>50000</v>
      </c>
      <c r="L110" s="48" t="s">
        <v>792</v>
      </c>
      <c r="Q110" s="99" t="s">
        <v>4509</v>
      </c>
      <c r="R110" s="95">
        <f>SUM(R101:R108)</f>
        <v>229248716.39999998</v>
      </c>
      <c r="S110" s="115"/>
    </row>
    <row r="111" spans="4:40">
      <c r="K111" s="47">
        <v>140000</v>
      </c>
      <c r="L111" s="48" t="s">
        <v>314</v>
      </c>
      <c r="S111" s="122"/>
    </row>
    <row r="112" spans="4:40">
      <c r="K112" s="47"/>
      <c r="L112" s="48" t="s">
        <v>25</v>
      </c>
      <c r="Q112" s="55"/>
      <c r="R112" s="186"/>
      <c r="S112" s="115"/>
    </row>
    <row r="113" spans="11:43" ht="60">
      <c r="K113" s="47">
        <f>SUM(K101:K112)</f>
        <v>2645000</v>
      </c>
      <c r="L113" s="48" t="s">
        <v>6</v>
      </c>
      <c r="Q113" s="55"/>
      <c r="R113" s="186"/>
      <c r="S113" s="115"/>
      <c r="T113" s="22" t="s">
        <v>4522</v>
      </c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1:43" ht="45">
      <c r="Q114" s="122"/>
      <c r="R114" s="115"/>
      <c r="T114" s="22" t="s">
        <v>4523</v>
      </c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1:43"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8">AK115+AL116</f>
        <v>133</v>
      </c>
      <c r="AM115" s="99">
        <f t="shared" ref="AM115:AM137" si="19">AJ115*AL115</f>
        <v>228871321</v>
      </c>
      <c r="AN115" s="99" t="s">
        <v>4329</v>
      </c>
    </row>
    <row r="116" spans="11:43">
      <c r="Q116" s="99" t="s">
        <v>4498</v>
      </c>
      <c r="R116" s="99"/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8"/>
        <v>82</v>
      </c>
      <c r="AM116" s="99">
        <f t="shared" si="19"/>
        <v>12300000</v>
      </c>
      <c r="AN116" s="99"/>
    </row>
    <row r="117" spans="11:43">
      <c r="Q117" s="36" t="s">
        <v>180</v>
      </c>
      <c r="R117" s="99" t="s">
        <v>267</v>
      </c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8"/>
        <v>79</v>
      </c>
      <c r="AM117" s="99">
        <f t="shared" si="19"/>
        <v>-7505000</v>
      </c>
      <c r="AN117" s="99"/>
    </row>
    <row r="118" spans="11:43">
      <c r="Q118" s="99" t="s">
        <v>4485</v>
      </c>
      <c r="R118" s="95">
        <v>3000000</v>
      </c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8"/>
        <v>71</v>
      </c>
      <c r="AM118" s="99">
        <f t="shared" si="19"/>
        <v>223650000</v>
      </c>
      <c r="AN118" s="99"/>
    </row>
    <row r="119" spans="11:43">
      <c r="Q119" s="99"/>
      <c r="R119" s="95"/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8"/>
        <v>55</v>
      </c>
      <c r="AM119" s="99">
        <f t="shared" si="19"/>
        <v>-3575000</v>
      </c>
      <c r="AN119" s="99"/>
    </row>
    <row r="120" spans="11:43">
      <c r="Q120" s="99"/>
      <c r="R120" s="95"/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8"/>
        <v>54</v>
      </c>
      <c r="AM120" s="99">
        <f t="shared" si="19"/>
        <v>-5130000</v>
      </c>
      <c r="AN120" s="99"/>
      <c r="AO120" t="s">
        <v>25</v>
      </c>
      <c r="AQ120" t="s">
        <v>25</v>
      </c>
    </row>
    <row r="121" spans="11:43">
      <c r="Q121" s="99"/>
      <c r="R121" s="95"/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8"/>
        <v>48</v>
      </c>
      <c r="AM121" s="99">
        <f t="shared" si="19"/>
        <v>11136000</v>
      </c>
      <c r="AN121" s="99"/>
      <c r="AP121" t="s">
        <v>25</v>
      </c>
    </row>
    <row r="122" spans="11:43">
      <c r="Q122" s="99"/>
      <c r="R122" s="95"/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8"/>
        <v>41</v>
      </c>
      <c r="AM122" s="99">
        <f t="shared" si="19"/>
        <v>533000000</v>
      </c>
      <c r="AN122" s="99"/>
    </row>
    <row r="123" spans="11:43">
      <c r="Q123" s="99"/>
      <c r="R123" s="95"/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8"/>
        <v>39</v>
      </c>
      <c r="AM123" s="99">
        <f t="shared" si="19"/>
        <v>390000000</v>
      </c>
      <c r="AN123" s="99"/>
    </row>
    <row r="124" spans="11:43">
      <c r="Q124" s="99"/>
      <c r="R124" s="95"/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8"/>
        <v>36</v>
      </c>
      <c r="AM124" s="99">
        <f t="shared" si="19"/>
        <v>122400000</v>
      </c>
      <c r="AN124" s="99"/>
    </row>
    <row r="125" spans="11:43">
      <c r="Q125" s="99"/>
      <c r="R125" s="99"/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19"/>
        <v>-235885878</v>
      </c>
      <c r="AN125" s="99"/>
    </row>
    <row r="126" spans="11:43"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0">AK126+AL127</f>
        <v>26</v>
      </c>
      <c r="AM126" s="99">
        <f t="shared" si="19"/>
        <v>14430000</v>
      </c>
      <c r="AN126" s="99"/>
    </row>
    <row r="127" spans="11:43">
      <c r="Q127" s="99" t="s">
        <v>1087</v>
      </c>
      <c r="R127" s="99"/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0"/>
        <v>21</v>
      </c>
      <c r="AM127" s="99">
        <f t="shared" si="19"/>
        <v>-9414468</v>
      </c>
      <c r="AN127" s="99"/>
    </row>
    <row r="128" spans="11:43">
      <c r="Q128" s="99" t="s">
        <v>4485</v>
      </c>
      <c r="R128" s="95">
        <v>828000</v>
      </c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0"/>
        <v>15</v>
      </c>
      <c r="AM128" s="99">
        <f t="shared" si="19"/>
        <v>498375</v>
      </c>
      <c r="AN128" s="99"/>
    </row>
    <row r="129" spans="17:40">
      <c r="Q129" s="99"/>
      <c r="R129" s="95"/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0"/>
        <v>15</v>
      </c>
      <c r="AM129" s="149">
        <f t="shared" si="19"/>
        <v>61477845</v>
      </c>
      <c r="AN129" s="149" t="s">
        <v>657</v>
      </c>
    </row>
    <row r="130" spans="17:40">
      <c r="Q130" s="99"/>
      <c r="R130" s="95"/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0"/>
        <v>13</v>
      </c>
      <c r="AM130" s="149">
        <f t="shared" si="19"/>
        <v>-13000000</v>
      </c>
      <c r="AN130" s="149" t="s">
        <v>657</v>
      </c>
    </row>
    <row r="131" spans="17:40">
      <c r="Q131" s="99"/>
      <c r="R131" s="95"/>
      <c r="AH131" s="149">
        <v>18</v>
      </c>
      <c r="AI131" s="149" t="s">
        <v>4475</v>
      </c>
      <c r="AJ131" s="193">
        <v>750000</v>
      </c>
      <c r="AK131" s="149">
        <v>1</v>
      </c>
      <c r="AL131" s="149">
        <f t="shared" si="20"/>
        <v>6</v>
      </c>
      <c r="AM131" s="149">
        <f t="shared" si="19"/>
        <v>4500000</v>
      </c>
      <c r="AN131" s="149" t="s">
        <v>657</v>
      </c>
    </row>
    <row r="132" spans="17:40">
      <c r="Q132" s="99"/>
      <c r="R132" s="95"/>
      <c r="AH132" s="201">
        <v>19</v>
      </c>
      <c r="AI132" s="201" t="s">
        <v>4483</v>
      </c>
      <c r="AJ132" s="202">
        <v>-604152</v>
      </c>
      <c r="AK132" s="201">
        <v>0</v>
      </c>
      <c r="AL132" s="201">
        <f t="shared" si="20"/>
        <v>5</v>
      </c>
      <c r="AM132" s="201">
        <f t="shared" si="19"/>
        <v>-3020760</v>
      </c>
      <c r="AN132" s="201" t="s">
        <v>657</v>
      </c>
    </row>
    <row r="133" spans="17:40">
      <c r="Q133" s="99"/>
      <c r="R133" s="99"/>
      <c r="AH133" s="99">
        <v>20</v>
      </c>
      <c r="AI133" s="99" t="s">
        <v>4484</v>
      </c>
      <c r="AJ133" s="117">
        <v>-587083</v>
      </c>
      <c r="AK133" s="99">
        <v>4</v>
      </c>
      <c r="AL133" s="99">
        <f t="shared" si="20"/>
        <v>5</v>
      </c>
      <c r="AM133" s="99">
        <f t="shared" si="19"/>
        <v>-2935415</v>
      </c>
      <c r="AN133" s="99"/>
    </row>
    <row r="134" spans="17:40">
      <c r="AH134" s="201">
        <v>21</v>
      </c>
      <c r="AI134" s="201" t="s">
        <v>4485</v>
      </c>
      <c r="AJ134" s="202">
        <v>-754351</v>
      </c>
      <c r="AK134" s="201">
        <v>0</v>
      </c>
      <c r="AL134" s="201">
        <f t="shared" si="20"/>
        <v>1</v>
      </c>
      <c r="AM134" s="201">
        <f t="shared" si="19"/>
        <v>-754351</v>
      </c>
      <c r="AN134" s="201" t="s">
        <v>657</v>
      </c>
    </row>
    <row r="135" spans="17:40">
      <c r="AH135" s="99">
        <v>22</v>
      </c>
      <c r="AI135" s="99" t="s">
        <v>4485</v>
      </c>
      <c r="AJ135" s="117">
        <v>-189619</v>
      </c>
      <c r="AK135" s="99">
        <v>1</v>
      </c>
      <c r="AL135" s="99">
        <f t="shared" si="20"/>
        <v>1</v>
      </c>
      <c r="AM135" s="99">
        <f t="shared" si="19"/>
        <v>-189619</v>
      </c>
      <c r="AN135" s="99"/>
    </row>
    <row r="136" spans="17:40">
      <c r="AH136" s="99"/>
      <c r="AI136" s="99"/>
      <c r="AJ136" s="99"/>
      <c r="AK136" s="99"/>
      <c r="AL136" s="99">
        <f t="shared" si="20"/>
        <v>0</v>
      </c>
      <c r="AM136" s="99">
        <f t="shared" si="19"/>
        <v>0</v>
      </c>
      <c r="AN136" s="99"/>
    </row>
    <row r="137" spans="17:40">
      <c r="AH137" s="99"/>
      <c r="AI137" s="99"/>
      <c r="AJ137" s="99"/>
      <c r="AK137" s="99"/>
      <c r="AL137" s="99">
        <f t="shared" si="18"/>
        <v>0</v>
      </c>
      <c r="AM137" s="99">
        <f t="shared" si="19"/>
        <v>0</v>
      </c>
      <c r="AN137" s="99"/>
    </row>
    <row r="138" spans="17:40">
      <c r="AH138" s="99"/>
      <c r="AI138" s="99"/>
      <c r="AJ138" s="99"/>
      <c r="AK138" s="99"/>
      <c r="AL138" s="99"/>
      <c r="AM138" s="99"/>
      <c r="AN138" s="99"/>
    </row>
    <row r="139" spans="17:40"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AJ140" t="s">
        <v>4062</v>
      </c>
      <c r="AM140" t="s">
        <v>284</v>
      </c>
      <c r="AN140" t="s">
        <v>943</v>
      </c>
    </row>
    <row r="142" spans="17:40">
      <c r="AI142" t="s">
        <v>4064</v>
      </c>
      <c r="AJ142" s="114">
        <f>AJ139+AN139</f>
        <v>29232241.709677421</v>
      </c>
    </row>
    <row r="143" spans="17:40">
      <c r="AI143" t="s">
        <v>4067</v>
      </c>
      <c r="AJ143" s="114">
        <f>SUM(N20:N30)</f>
        <v>26265914.700000003</v>
      </c>
    </row>
    <row r="144" spans="17:40">
      <c r="AI144" t="s">
        <v>4139</v>
      </c>
      <c r="AJ144" s="114">
        <f>AJ143-AJ139</f>
        <v>-1804463.299999997</v>
      </c>
    </row>
    <row r="145" spans="35:36">
      <c r="AI145" t="s">
        <v>943</v>
      </c>
      <c r="AJ145" s="114">
        <f>AN139</f>
        <v>1161863.7096774194</v>
      </c>
    </row>
    <row r="146" spans="35:36">
      <c r="AI146" t="s">
        <v>4068</v>
      </c>
      <c r="AJ146" s="114">
        <f>AJ144-AJ145</f>
        <v>-2966327.0096774166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87 S7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2018-12-01T11:41:28Z</dcterms:modified>
</cp:coreProperties>
</file>