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L29" i="33" l="1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L2" i="33"/>
  <c r="K2" i="33"/>
  <c r="J2" i="33"/>
  <c r="I2" i="33"/>
  <c r="H2" i="33"/>
  <c r="G2" i="33"/>
  <c r="F2" i="33"/>
  <c r="E2" i="33"/>
  <c r="D2" i="33"/>
  <c r="C2" i="33"/>
  <c r="B29" i="33" l="1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N25" i="18" l="1"/>
  <c r="AA16" i="32"/>
  <c r="AA15" i="32"/>
  <c r="Z15" i="32"/>
  <c r="I56" i="32"/>
  <c r="L56" i="32" s="1"/>
  <c r="X25" i="32"/>
  <c r="AA8" i="32"/>
  <c r="AA7" i="32"/>
  <c r="AA4" i="32"/>
  <c r="K41" i="32"/>
  <c r="M41" i="32"/>
  <c r="M29" i="32"/>
  <c r="Q29" i="32" s="1"/>
  <c r="K29" i="32"/>
  <c r="P29" i="32" l="1"/>
  <c r="N28" i="18"/>
  <c r="AC15" i="33" l="1"/>
  <c r="S29" i="32" l="1"/>
  <c r="S58" i="32"/>
  <c r="S59" i="32"/>
  <c r="S60" i="32"/>
  <c r="S61" i="32"/>
  <c r="S62" i="32"/>
  <c r="S63" i="32"/>
  <c r="S64" i="32"/>
  <c r="S65" i="32"/>
  <c r="S66" i="32"/>
  <c r="S67" i="32"/>
  <c r="AA5" i="32"/>
  <c r="AA6" i="32" s="1"/>
  <c r="AC28" i="33"/>
  <c r="N25" i="33" l="1"/>
  <c r="AE24" i="33"/>
  <c r="N2" i="33"/>
  <c r="I40" i="32" l="1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N27" i="33"/>
  <c r="R27" i="33" s="1"/>
  <c r="N12" i="33"/>
  <c r="N8" i="33"/>
  <c r="N6" i="33"/>
  <c r="N4" i="33"/>
  <c r="N3" i="33"/>
  <c r="N23" i="33"/>
  <c r="N22" i="33"/>
  <c r="N21" i="33"/>
  <c r="N20" i="33"/>
  <c r="N19" i="33"/>
  <c r="N18" i="33"/>
  <c r="N17" i="33"/>
  <c r="U9" i="33" l="1"/>
  <c r="R24" i="33"/>
  <c r="U17" i="33"/>
  <c r="U15" i="33"/>
  <c r="R15" i="33"/>
  <c r="R17" i="33"/>
  <c r="U2" i="33"/>
  <c r="R2" i="33"/>
  <c r="U5" i="33"/>
  <c r="R5" i="33"/>
  <c r="U16" i="33"/>
  <c r="R16" i="33"/>
  <c r="U3" i="33"/>
  <c r="R3" i="33"/>
  <c r="U4" i="33"/>
  <c r="R4" i="33"/>
  <c r="U25" i="33"/>
  <c r="R25" i="33"/>
  <c r="U26" i="33"/>
  <c r="R26" i="33"/>
  <c r="R9" i="33"/>
  <c r="U29" i="33"/>
  <c r="R29" i="33"/>
  <c r="U22" i="33"/>
  <c r="R22" i="33"/>
  <c r="U13" i="33"/>
  <c r="R13" i="33"/>
  <c r="U24" i="33"/>
  <c r="U18" i="33"/>
  <c r="R18" i="33"/>
  <c r="U7" i="33"/>
  <c r="R7" i="33"/>
  <c r="U19" i="33"/>
  <c r="R19" i="33"/>
  <c r="U28" i="33"/>
  <c r="R28" i="33"/>
  <c r="U20" i="33"/>
  <c r="R20" i="33"/>
  <c r="U6" i="33"/>
  <c r="R6" i="33"/>
  <c r="U10" i="33"/>
  <c r="R10" i="33"/>
  <c r="U21" i="33"/>
  <c r="R21" i="33"/>
  <c r="U8" i="33"/>
  <c r="R8" i="33"/>
  <c r="U11" i="33"/>
  <c r="R11" i="33"/>
  <c r="U12" i="33"/>
  <c r="R12" i="33"/>
  <c r="U23" i="33"/>
  <c r="R23" i="33"/>
  <c r="U14" i="33"/>
  <c r="R14" i="33"/>
  <c r="U27" i="33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43" i="32"/>
  <c r="Q43" i="32" s="1"/>
  <c r="K43" i="32"/>
  <c r="S43" i="32" s="1"/>
  <c r="K42" i="32"/>
  <c r="S42" i="32" s="1"/>
  <c r="I42" i="32"/>
  <c r="L4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6" i="32"/>
  <c r="S56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4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X32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9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P69" i="32"/>
  <c r="F186" i="15"/>
  <c r="Q69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7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<sst xmlns="http://schemas.openxmlformats.org/spreadsheetml/2006/main" count="2675" uniqueCount="1109">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</sst>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18" borderId="1" xfId="0" applyFill="1" applyBorder="1"/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1076</v>
      </c>
      <c r="B6" s="18">
        <v>0</v>
      </c>
      <c r="C6" s="18">
        <v>0</v>
      </c>
      <c r="D6" s="3">
        <f t="shared" si="0"/>
        <v>0</v>
      </c>
      <c r="E6" s="19" t="s">
        <v>1078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1094</v>
      </c>
      <c r="G31" s="9" t="s">
        <v>1079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1095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1046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1076</v>
      </c>
      <c r="B148" s="18">
        <v>252436</v>
      </c>
      <c r="C148" s="18">
        <v>65510</v>
      </c>
      <c r="D148" s="18">
        <f t="shared" si="12"/>
        <v>186926</v>
      </c>
      <c r="E148" s="11" t="s">
        <v>1078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1052</v>
      </c>
      <c r="B103" s="38">
        <v>295500</v>
      </c>
      <c r="C103" s="73" t="s">
        <v>1053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1046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1050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1057</v>
      </c>
      <c r="B108" s="38">
        <v>3000000</v>
      </c>
      <c r="C108" s="73" t="s">
        <v>1067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1068</v>
      </c>
      <c r="B109" s="38">
        <v>2000000</v>
      </c>
      <c r="C109" s="73" t="s">
        <v>1067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1068</v>
      </c>
      <c r="B110" s="38">
        <v>-5000000</v>
      </c>
      <c r="C110" s="73" t="s">
        <v>1046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1076</v>
      </c>
      <c r="B111" s="38">
        <v>412668</v>
      </c>
      <c r="C111" s="73" t="s">
        <v>1077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1047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1076</v>
      </c>
      <c r="B6" s="18">
        <v>252436</v>
      </c>
      <c r="C6" s="18">
        <v>65510</v>
      </c>
      <c r="D6" s="3">
        <f t="shared" si="0"/>
        <v>186926</v>
      </c>
      <c r="E6" s="19" t="s">
        <v>1078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1045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1066</v>
      </c>
    </row>
    <row r="36" spans="4:17" x14ac:dyDescent="0.25">
      <c r="D36" s="42">
        <v>245000</v>
      </c>
      <c r="E36" s="41" t="s">
        <v>1066</v>
      </c>
    </row>
    <row r="37" spans="4:17" x14ac:dyDescent="0.25">
      <c r="D37" s="7">
        <v>-25000</v>
      </c>
      <c r="E37" s="41" t="s">
        <v>1070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zoomScaleNormal="100" workbookViewId="0">
      <pane ySplit="1" topLeftCell="A32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6.14062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1054</v>
      </c>
      <c r="R1" s="11" t="s">
        <v>983</v>
      </c>
      <c r="S1" s="74" t="s">
        <v>1072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1060</v>
      </c>
      <c r="AD3" s="82" t="s">
        <v>1061</v>
      </c>
      <c r="AE3" s="82" t="s">
        <v>1062</v>
      </c>
      <c r="AF3" s="82" t="s">
        <v>1063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14</v>
      </c>
      <c r="AB4" s="85">
        <f t="shared" ref="AB4:AB10" si="2">W4*AA4*$AB$2/(365*100)</f>
        <v>679287.67123287672</v>
      </c>
      <c r="AC4" s="85">
        <f>AB4</f>
        <v>679287.67123287672</v>
      </c>
      <c r="AD4" s="85">
        <v>0</v>
      </c>
      <c r="AE4" s="85">
        <f>Y4+AC4</f>
        <v>81179287.671232879</v>
      </c>
      <c r="AF4" s="85">
        <f>Z4+AD4</f>
        <v>0</v>
      </c>
      <c r="AG4" s="86">
        <f t="shared" ref="AG4:AG9" si="3">W4+AB4</f>
        <v>81179287.671232879</v>
      </c>
    </row>
    <row r="5" spans="1:33" x14ac:dyDescent="0.25">
      <c r="A5" s="79" t="s">
        <v>1057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1043</v>
      </c>
      <c r="Y5" s="85">
        <v>0</v>
      </c>
      <c r="Z5" s="86">
        <f t="shared" ref="Z5:Z8" si="4">W5-Y5</f>
        <v>87000000</v>
      </c>
      <c r="AA5" s="82">
        <f>AA4-4</f>
        <v>10</v>
      </c>
      <c r="AB5" s="85">
        <f t="shared" si="2"/>
        <v>524383.56164383562</v>
      </c>
      <c r="AC5" s="85">
        <v>0</v>
      </c>
      <c r="AD5" s="85">
        <f>AB5</f>
        <v>524383.56164383562</v>
      </c>
      <c r="AE5" s="85">
        <f t="shared" ref="AE5:AE11" si="5">Y5+AC5</f>
        <v>0</v>
      </c>
      <c r="AF5" s="85">
        <f t="shared" ref="AF5:AF11" si="6">Z5+AD5</f>
        <v>87524383.561643839</v>
      </c>
      <c r="AG5" s="86">
        <f t="shared" si="3"/>
        <v>87524383.561643839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1057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9</v>
      </c>
      <c r="AB6" s="85">
        <f t="shared" si="2"/>
        <v>5967.1232876712329</v>
      </c>
      <c r="AC6" s="85">
        <f>AB6</f>
        <v>5967.1232876712329</v>
      </c>
      <c r="AD6" s="85">
        <v>0</v>
      </c>
      <c r="AE6" s="85">
        <f t="shared" si="5"/>
        <v>1105967.1232876712</v>
      </c>
      <c r="AF6" s="85">
        <f t="shared" si="6"/>
        <v>0</v>
      </c>
      <c r="AG6" s="86">
        <f t="shared" si="3"/>
        <v>1105967.1232876712</v>
      </c>
    </row>
    <row r="7" spans="1:33" x14ac:dyDescent="0.25">
      <c r="A7" s="76" t="s">
        <v>1068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1068</v>
      </c>
      <c r="V7" s="82" t="s">
        <v>962</v>
      </c>
      <c r="W7" s="85">
        <v>10000000</v>
      </c>
      <c r="X7" s="82" t="s">
        <v>1071</v>
      </c>
      <c r="Y7" s="85">
        <v>5000000</v>
      </c>
      <c r="Z7" s="86">
        <f t="shared" si="4"/>
        <v>5000000</v>
      </c>
      <c r="AA7" s="82">
        <f>AA6-1</f>
        <v>8</v>
      </c>
      <c r="AB7" s="85">
        <f t="shared" si="2"/>
        <v>48219.178082191778</v>
      </c>
      <c r="AC7" s="85">
        <f>AB7/2</f>
        <v>24109.589041095889</v>
      </c>
      <c r="AD7" s="85">
        <f>AB7-AC7</f>
        <v>24109.589041095889</v>
      </c>
      <c r="AE7" s="85">
        <f t="shared" si="5"/>
        <v>5024109.5890410962</v>
      </c>
      <c r="AF7" s="85">
        <f t="shared" si="6"/>
        <v>5024109.5890410962</v>
      </c>
      <c r="AG7" s="86">
        <f t="shared" si="3"/>
        <v>10048219.178082192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1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1068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1044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1257857.5342465756</v>
      </c>
      <c r="AC12" s="86">
        <f>SUM(AC4:AC10)</f>
        <v>709364.38356164389</v>
      </c>
      <c r="AD12" s="86">
        <f>SUM(AD4:AD10)</f>
        <v>548493.15068493155</v>
      </c>
      <c r="AE12" s="86">
        <f>SUM(AE4:AE11)</f>
        <v>87309364.383561656</v>
      </c>
      <c r="AF12" s="86">
        <f>SUM(AF4:AF11)</f>
        <v>92548493.150684938</v>
      </c>
      <c r="AG12" s="86">
        <f>SUM(AG4:AG10)</f>
        <v>179857857.53424659</v>
      </c>
    </row>
    <row r="13" spans="1:33" x14ac:dyDescent="0.25">
      <c r="A13" s="79" t="s">
        <v>960</v>
      </c>
      <c r="B13" s="79" t="s">
        <v>1044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1064</v>
      </c>
      <c r="Z15" s="7">
        <f>Z12+Q69</f>
        <v>93896004</v>
      </c>
      <c r="AA15" s="7">
        <f>Y12+P69</f>
        <v>89897288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1065</v>
      </c>
      <c r="Z16" s="7">
        <f>Z15-AF12</f>
        <v>1347510.8493150622</v>
      </c>
      <c r="AA16" s="7">
        <f>AA15-AE12</f>
        <v>2587923.6164383441</v>
      </c>
    </row>
    <row r="17" spans="1:30" x14ac:dyDescent="0.25">
      <c r="A17" s="79" t="s">
        <v>1068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1098</v>
      </c>
      <c r="Z18">
        <v>8</v>
      </c>
    </row>
    <row r="19" spans="1:30" x14ac:dyDescent="0.25">
      <c r="A19" s="76" t="s">
        <v>1068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1099</v>
      </c>
      <c r="Z19">
        <v>6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1068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984</v>
      </c>
      <c r="X22" s="11" t="s">
        <v>182</v>
      </c>
    </row>
    <row r="23" spans="1:30" x14ac:dyDescent="0.25">
      <c r="A23" s="76" t="s">
        <v>1068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985</v>
      </c>
      <c r="X23" s="3">
        <v>12899899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1068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 t="s">
        <v>991</v>
      </c>
      <c r="X25" s="3">
        <f>C56*R56*(1-J57/100)</f>
        <v>162711948.25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1068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960</v>
      </c>
      <c r="B28" s="90" t="s">
        <v>987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98059.477530412303</v>
      </c>
      <c r="M28" s="90"/>
      <c r="N28" s="90"/>
      <c r="O28" s="90"/>
      <c r="P28" s="90"/>
      <c r="Q28" s="90"/>
      <c r="R28" s="91"/>
      <c r="S28" s="91">
        <f t="shared" ref="S28" si="37">C28*E28+K28-F28</f>
        <v>-416020.0625</v>
      </c>
      <c r="W28" s="11" t="s">
        <v>1073</v>
      </c>
      <c r="X28" s="3">
        <v>8812000</v>
      </c>
    </row>
    <row r="29" spans="1:30" x14ac:dyDescent="0.25">
      <c r="A29" s="90" t="s">
        <v>1108</v>
      </c>
      <c r="B29" s="90" t="s">
        <v>987</v>
      </c>
      <c r="C29" s="90">
        <v>100</v>
      </c>
      <c r="D29" s="90" t="s">
        <v>976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8">C29*E29*J29/100</f>
        <v>7249.9274999999998</v>
      </c>
      <c r="L29" s="90">
        <v>16</v>
      </c>
      <c r="M29" s="91">
        <f>F29-F28</f>
        <v>245917</v>
      </c>
      <c r="N29" s="90">
        <v>50</v>
      </c>
      <c r="O29" s="90">
        <v>50</v>
      </c>
      <c r="P29" s="91">
        <f t="shared" ref="P29" si="39">M29*N29/C28</f>
        <v>122958.5</v>
      </c>
      <c r="Q29" s="91">
        <f t="shared" ref="Q29" si="40">M29*O29/C28</f>
        <v>122958.5</v>
      </c>
      <c r="R29" s="90"/>
      <c r="S29" s="91">
        <f t="shared" ref="S29" si="41">-C29*E29+K29+F29</f>
        <v>463882.92750000022</v>
      </c>
      <c r="W29" s="11"/>
      <c r="X29" s="11"/>
    </row>
    <row r="30" spans="1:30" x14ac:dyDescent="0.25">
      <c r="A30" s="79" t="s">
        <v>1057</v>
      </c>
      <c r="B30" s="79" t="s">
        <v>1044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11"/>
    </row>
    <row r="31" spans="1:30" x14ac:dyDescent="0.25">
      <c r="A31" s="79" t="s">
        <v>1057</v>
      </c>
      <c r="B31" s="79" t="s">
        <v>1044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11"/>
    </row>
    <row r="32" spans="1:30" x14ac:dyDescent="0.25">
      <c r="A32" s="76" t="s">
        <v>1057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29">
        <f>SUM(X23:X31)</f>
        <v>184423847.25</v>
      </c>
    </row>
    <row r="33" spans="1:24" x14ac:dyDescent="0.25">
      <c r="A33" s="76" t="s">
        <v>1057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11"/>
    </row>
    <row r="34" spans="1:24" x14ac:dyDescent="0.25">
      <c r="A34" s="79" t="s">
        <v>1057</v>
      </c>
      <c r="B34" s="79" t="s">
        <v>1044</v>
      </c>
      <c r="C34" s="79">
        <v>140</v>
      </c>
      <c r="D34" s="79" t="s">
        <v>1059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980</v>
      </c>
      <c r="X34" s="29">
        <f>X32-AG12</f>
        <v>4565989.7157534063</v>
      </c>
    </row>
    <row r="35" spans="1:24" x14ac:dyDescent="0.25">
      <c r="A35" s="79" t="s">
        <v>1057</v>
      </c>
      <c r="B35" s="79" t="s">
        <v>1044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1068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1068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1068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1068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1068</v>
      </c>
      <c r="B40" s="76" t="s">
        <v>965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1108</v>
      </c>
      <c r="B41" s="76" t="s">
        <v>965</v>
      </c>
      <c r="C41" s="76">
        <v>8</v>
      </c>
      <c r="D41" s="76" t="s">
        <v>976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7">
        <v>0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4"/>
        <v>0</v>
      </c>
      <c r="L42" s="79">
        <f t="shared" ref="L42:L54" si="50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1">C42*E42+K42-F42</f>
        <v>0</v>
      </c>
    </row>
    <row r="43" spans="1:24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4"/>
        <v>0</v>
      </c>
      <c r="L43" s="79">
        <v>20</v>
      </c>
      <c r="M43" s="81">
        <f t="shared" ref="M43" si="52">F43-F42</f>
        <v>0</v>
      </c>
      <c r="N43" s="79">
        <v>50</v>
      </c>
      <c r="O43" s="79">
        <v>50</v>
      </c>
      <c r="P43" s="81">
        <f t="shared" ref="P43" si="53">M43*N43/C42</f>
        <v>0</v>
      </c>
      <c r="Q43" s="81">
        <f t="shared" ref="Q43" si="54">M43*O43/C42</f>
        <v>0</v>
      </c>
      <c r="R43" s="79"/>
      <c r="S43" s="80">
        <f t="shared" ref="S43" si="55">-C43*E43+K43+F43</f>
        <v>0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6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7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8">F53-F52</f>
        <v>0</v>
      </c>
      <c r="N53" s="76">
        <v>50</v>
      </c>
      <c r="O53" s="76">
        <v>50</v>
      </c>
      <c r="P53" s="78">
        <f t="shared" ref="P53" si="59">M53*N53/C52</f>
        <v>0</v>
      </c>
      <c r="Q53" s="78">
        <f t="shared" ref="Q53" si="60">M53*O53/C52</f>
        <v>0</v>
      </c>
      <c r="R53" s="76"/>
      <c r="S53" s="89">
        <f t="shared" ref="S53" si="61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si="50"/>
        <v>0</v>
      </c>
      <c r="M54" s="79"/>
      <c r="N54" s="79"/>
      <c r="O54" s="79"/>
      <c r="P54" s="79"/>
      <c r="Q54" s="79"/>
      <c r="R54" s="79"/>
      <c r="S54" s="80">
        <f t="shared" ref="S54" si="62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3">F55-F54</f>
        <v>0</v>
      </c>
      <c r="N55" s="79">
        <v>50</v>
      </c>
      <c r="O55" s="79">
        <v>50</v>
      </c>
      <c r="P55" s="79">
        <f t="shared" ref="P55" si="64">M55*N55/C54</f>
        <v>0</v>
      </c>
      <c r="Q55" s="79">
        <f t="shared" ref="Q55" si="65">M55*O55/C54</f>
        <v>0</v>
      </c>
      <c r="R55" s="79"/>
      <c r="S55" s="80">
        <f t="shared" ref="S55" si="66">-C55*E55+K55+F55</f>
        <v>0</v>
      </c>
    </row>
    <row r="56" spans="1:20" x14ac:dyDescent="0.25">
      <c r="A56" s="83" t="s">
        <v>1068</v>
      </c>
      <c r="B56" s="83" t="s">
        <v>991</v>
      </c>
      <c r="C56" s="83">
        <v>1900</v>
      </c>
      <c r="D56" s="83" t="s">
        <v>61</v>
      </c>
      <c r="E56" s="84">
        <v>85537</v>
      </c>
      <c r="F56" s="84">
        <v>170893386</v>
      </c>
      <c r="G56" s="83">
        <v>8</v>
      </c>
      <c r="H56" s="83">
        <v>15</v>
      </c>
      <c r="I56" s="84">
        <f>F56*G56*($AB$2-H56)/(36500)</f>
        <v>262192.5922191781</v>
      </c>
      <c r="J56" s="83">
        <v>7.2499999999999995E-2</v>
      </c>
      <c r="K56" s="84">
        <f>C56*E56*J56/100</f>
        <v>117827.2175</v>
      </c>
      <c r="L56" s="84">
        <f>(E56*(1+J56/100)+I56/C56)/(1-J57/100)-(S56/C56)*(G56/365)*($AB$2/100)</f>
        <v>85820.1654776418</v>
      </c>
      <c r="M56" s="83"/>
      <c r="N56" s="83"/>
      <c r="O56" s="83"/>
      <c r="P56" s="83"/>
      <c r="Q56" s="83"/>
      <c r="R56" s="84">
        <v>85700</v>
      </c>
      <c r="S56" s="14">
        <f>C56*E56+K56-F56</f>
        <v>-8255258.7824999988</v>
      </c>
      <c r="T56" t="s">
        <v>25</v>
      </c>
    </row>
    <row r="57" spans="1:20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>
        <v>7.2499999999999995E-2</v>
      </c>
      <c r="K57" s="83"/>
      <c r="L57" s="83"/>
      <c r="M57" s="83"/>
      <c r="N57" s="83">
        <v>950</v>
      </c>
      <c r="O57" s="83">
        <v>950</v>
      </c>
      <c r="P57" s="83"/>
      <c r="Q57" s="83"/>
      <c r="R57" s="83"/>
      <c r="S57" s="14">
        <v>8812200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67">C58*E58+K58-F58</f>
        <v>0</v>
      </c>
    </row>
    <row r="59" spans="1:20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68">-C59*E59+K59+F59</f>
        <v>0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9">C60*E60+K60-F60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70">-C61*E61+K61+F61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71">C62*E62+K62-F62</f>
        <v>0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72">-C63*E63+K63+F63</f>
        <v>0</v>
      </c>
    </row>
    <row r="64" spans="1:20" x14ac:dyDescent="0.25">
      <c r="A64" s="83"/>
      <c r="B64" s="83"/>
      <c r="C64" s="83"/>
      <c r="D64" s="83"/>
      <c r="E64" s="83"/>
      <c r="F64" s="83"/>
      <c r="G64" s="83"/>
      <c r="H64" s="83"/>
      <c r="I64" s="84" t="s">
        <v>25</v>
      </c>
      <c r="J64" s="83"/>
      <c r="K64" s="83"/>
      <c r="L64" s="83"/>
      <c r="M64" s="83"/>
      <c r="N64" s="83"/>
      <c r="O64" s="83"/>
      <c r="P64" s="83"/>
      <c r="Q64" s="83"/>
      <c r="R64" s="83"/>
      <c r="S64" s="14">
        <f t="shared" ref="S64" si="73">C64*E64+K64-F64</f>
        <v>0</v>
      </c>
    </row>
    <row r="65" spans="1:19" x14ac:dyDescent="0.25">
      <c r="A65" s="83"/>
      <c r="B65" s="83"/>
      <c r="C65" s="83"/>
      <c r="D65" s="83"/>
      <c r="E65" s="83"/>
      <c r="F65" s="83"/>
      <c r="G65" s="83"/>
      <c r="H65" s="83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14">
        <f t="shared" ref="S65" si="74">-C65*E65+K65+F65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14">
        <f t="shared" ref="S66" si="75">C66*E66+K66-F66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14">
        <f t="shared" ref="S67" si="76">-C67*E67+K67+F67</f>
        <v>0</v>
      </c>
    </row>
    <row r="68" spans="1:19" x14ac:dyDescent="0.25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2"/>
      <c r="O68" s="82"/>
      <c r="P68" s="11"/>
      <c r="Q68" s="11"/>
      <c r="R68" s="11"/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>
        <f>SUM(M2:M67)</f>
        <v>5193292</v>
      </c>
      <c r="N69" s="11"/>
      <c r="O69" s="11"/>
      <c r="P69" s="3">
        <f>SUM(P2:P68)</f>
        <v>3297288</v>
      </c>
      <c r="Q69" s="3">
        <f>SUM(Q3:Q68)</f>
        <v>1896004</v>
      </c>
      <c r="R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191</v>
      </c>
      <c r="N70" s="11"/>
      <c r="O70" s="11"/>
      <c r="P70" s="11" t="s">
        <v>1055</v>
      </c>
      <c r="Q70" s="11" t="s">
        <v>1056</v>
      </c>
      <c r="R70" s="11"/>
      <c r="S70" t="s">
        <v>25</v>
      </c>
    </row>
    <row r="71" spans="1:19" x14ac:dyDescent="0.25">
      <c r="A71" s="25"/>
    </row>
    <row r="72" spans="1:19" x14ac:dyDescent="0.25">
      <c r="A72" s="25"/>
    </row>
    <row r="73" spans="1:19" x14ac:dyDescent="0.25">
      <c r="F73" s="7"/>
    </row>
    <row r="84" spans="4:14" x14ac:dyDescent="0.25">
      <c r="D84" t="s">
        <v>25</v>
      </c>
    </row>
    <row r="85" spans="4:14" x14ac:dyDescent="0.25">
      <c r="G85" s="25"/>
    </row>
    <row r="86" spans="4:14" x14ac:dyDescent="0.25">
      <c r="I86" s="25"/>
    </row>
    <row r="87" spans="4:14" x14ac:dyDescent="0.25">
      <c r="I87" s="25"/>
    </row>
    <row r="88" spans="4:14" x14ac:dyDescent="0.25">
      <c r="I88" s="28"/>
    </row>
    <row r="91" spans="4:14" x14ac:dyDescent="0.25">
      <c r="N91" s="25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selection activeCell="G21" sqref="G21"/>
    </sheetView>
  </sheetViews>
  <sheetFormatPr defaultRowHeight="15" x14ac:dyDescent="0.25"/>
  <cols>
    <col min="2" max="2" width="12.42578125" bestFit="1" customWidth="1"/>
    <col min="3" max="5" width="12.42578125" customWidth="1"/>
    <col min="6" max="6" width="12.42578125" bestFit="1" customWidth="1"/>
    <col min="7" max="11" width="12.42578125" customWidth="1"/>
    <col min="12" max="12" width="12.42578125" bestFit="1" customWidth="1"/>
    <col min="13" max="14" width="12.42578125" customWidth="1"/>
    <col min="16" max="16" width="9" bestFit="1" customWidth="1"/>
    <col min="17" max="17" width="10.85546875" bestFit="1" customWidth="1"/>
    <col min="18" max="18" width="17.5703125" bestFit="1" customWidth="1"/>
    <col min="19" max="20" width="12.42578125" bestFit="1" customWidth="1"/>
    <col min="21" max="22" width="26" bestFit="1" customWidth="1"/>
    <col min="24" max="27" width="12.42578125" bestFit="1" customWidth="1"/>
    <col min="28" max="28" width="11.42578125" bestFit="1" customWidth="1"/>
    <col min="29" max="29" width="18.85546875" bestFit="1" customWidth="1"/>
    <col min="30" max="30" width="15.140625" bestFit="1" customWidth="1"/>
    <col min="31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1093</v>
      </c>
      <c r="M1" s="11" t="s">
        <v>999</v>
      </c>
      <c r="N1" s="11" t="s">
        <v>1083</v>
      </c>
      <c r="O1" s="11" t="s">
        <v>1001</v>
      </c>
      <c r="P1" s="11" t="s">
        <v>1089</v>
      </c>
      <c r="Q1" s="11" t="s">
        <v>1002</v>
      </c>
      <c r="R1" s="11" t="s">
        <v>1036</v>
      </c>
      <c r="S1" s="11" t="s">
        <v>1013</v>
      </c>
      <c r="T1" s="11" t="s">
        <v>968</v>
      </c>
      <c r="U1" s="69" t="s">
        <v>1088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982</v>
      </c>
      <c r="AD1" t="s">
        <v>1041</v>
      </c>
      <c r="AE1" t="s">
        <v>1042</v>
      </c>
      <c r="AI1">
        <v>0.88</v>
      </c>
      <c r="AJ1" t="s">
        <v>1074</v>
      </c>
      <c r="AL1" t="s">
        <v>1084</v>
      </c>
      <c r="AM1" t="s">
        <v>1085</v>
      </c>
    </row>
    <row r="2" spans="1:39" x14ac:dyDescent="0.25">
      <c r="A2" s="11" t="s">
        <v>992</v>
      </c>
      <c r="B2" s="43">
        <f>$S2/(1+($AC$2-$O2+$P2)/36500)^$N2</f>
        <v>92880.884569219415</v>
      </c>
      <c r="C2" s="43">
        <f>$S2/(1+($AC$3-$O2+$P2)/36500)^$N2</f>
        <v>93009.150566557961</v>
      </c>
      <c r="D2" s="43">
        <f>$S2/(1+($AC$4-$O2+$P2)/36500)^$N2</f>
        <v>93169.734163960267</v>
      </c>
      <c r="E2" s="43">
        <f>$S2/(1+($AC$5-$O2+$P2)/36500)^$N2</f>
        <v>93330.59721888903</v>
      </c>
      <c r="F2" s="43">
        <f>$S2/(1+($AC$6-$O2+$P2)/36500)^$N2</f>
        <v>93491.740221513159</v>
      </c>
      <c r="G2" s="43">
        <f>$S2/(1+($AC$7-$O2+$P2)/36500)^$N2</f>
        <v>93653.163662860577</v>
      </c>
      <c r="H2" s="43">
        <f>$S2/(1+($AC$8-$O2+$P2)/36500)^$N2</f>
        <v>93814.868034834784</v>
      </c>
      <c r="I2" s="43">
        <f>$S2/(1+($AC$9-$O2+$P2)/36500)^$N2</f>
        <v>93976.853830202803</v>
      </c>
      <c r="J2" s="43">
        <f>$S2/(1+($AC$10-$O2+$P2)/36500)^$N2</f>
        <v>94139.121542605339</v>
      </c>
      <c r="K2" s="43">
        <f>$S2/(1+($AC$11-$O2+$P2)/36500)^$N2</f>
        <v>94301.671666560418</v>
      </c>
      <c r="L2" s="43">
        <f>$S2/(1+($AC$5-$O2+$P2)/36500)^$N2</f>
        <v>93330.59721888903</v>
      </c>
      <c r="M2" s="11" t="s">
        <v>1022</v>
      </c>
      <c r="N2" s="20">
        <f>132-$AD$19</f>
        <v>126</v>
      </c>
      <c r="O2" s="11">
        <v>0</v>
      </c>
      <c r="P2" s="11">
        <v>0</v>
      </c>
      <c r="Q2" s="11">
        <v>0</v>
      </c>
      <c r="R2" s="20">
        <f t="shared" ref="R2:R29" si="0">N2/30.5</f>
        <v>4.1311475409836067</v>
      </c>
      <c r="S2" s="3">
        <v>100000</v>
      </c>
      <c r="T2" s="3">
        <v>92020</v>
      </c>
      <c r="U2" s="3">
        <f t="shared" ref="U2:U29" si="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2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0.78</v>
      </c>
      <c r="AJ2" t="s">
        <v>1075</v>
      </c>
    </row>
    <row r="3" spans="1:39" x14ac:dyDescent="0.25">
      <c r="A3" s="16" t="s">
        <v>993</v>
      </c>
      <c r="B3" s="14">
        <f t="shared" ref="B3:K29" si="3">$S3/(1+($AC$2-$O3+$P3)/36500)^$N3</f>
        <v>90994.887757268749</v>
      </c>
      <c r="C3" s="14">
        <f t="shared" ref="C3:C29" si="4">$S3/(1+($AC$3-$O3+$P3)/36500)^$N3</f>
        <v>91155.485999253811</v>
      </c>
      <c r="D3" s="14">
        <f t="shared" ref="D3:D29" si="5">$S3/(1+($AC$4-$O3+$P3)/36500)^$N3</f>
        <v>91356.63493221243</v>
      </c>
      <c r="E3" s="14">
        <f t="shared" ref="E3:E29" si="6">$S3/(1+($AC$5-$O3+$P3)/36500)^$N3</f>
        <v>91558.23049501855</v>
      </c>
      <c r="F3" s="14">
        <f t="shared" ref="F3:F29" si="7">$S3/(1+($AC$6-$O3+$P3)/36500)^$N3</f>
        <v>91760.273685506239</v>
      </c>
      <c r="G3" s="14">
        <f t="shared" ref="G3:G29" si="8">$S3/(1+($AC$7-$O3+$P3)/36500)^$N3</f>
        <v>91962.765503742819</v>
      </c>
      <c r="H3" s="14">
        <f t="shared" ref="H3:H29" si="9">$S3/(1+($AC$8-$O3+$P3)/36500)^$N3</f>
        <v>92165.706952053311</v>
      </c>
      <c r="I3" s="14">
        <f t="shared" ref="I3:I29" si="10">$S3/(1+($AC$9-$O3+$P3)/36500)^$N3</f>
        <v>92369.099035008287</v>
      </c>
      <c r="J3" s="14">
        <f t="shared" ref="J3:J29" si="11">$S3/(1+($AC$10-$O3+$P3)/36500)^$N3</f>
        <v>92572.942759439829</v>
      </c>
      <c r="K3" s="14">
        <f t="shared" ref="K3:K29" si="12">$S3/(1+($AC$11-$O3+$P3)/36500)^$N3</f>
        <v>92777.239134449046</v>
      </c>
      <c r="L3" s="14">
        <f t="shared" ref="L3:L29" si="13">$S3/(1+($AC$5-$O3+$P3)/36500)^$N3</f>
        <v>91558.23049501855</v>
      </c>
      <c r="M3" s="16" t="s">
        <v>1023</v>
      </c>
      <c r="N3" s="16">
        <f>167-$AD$19</f>
        <v>161</v>
      </c>
      <c r="O3" s="16">
        <v>0</v>
      </c>
      <c r="P3" s="16">
        <v>0</v>
      </c>
      <c r="Q3" s="16">
        <v>0</v>
      </c>
      <c r="R3" s="16">
        <f t="shared" si="0"/>
        <v>5.278688524590164</v>
      </c>
      <c r="S3" s="14">
        <v>100000</v>
      </c>
      <c r="T3" s="14">
        <v>90100</v>
      </c>
      <c r="U3" s="14">
        <f t="shared" si="1"/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2"/>
        <v>2391.1324999999997</v>
      </c>
      <c r="AC3">
        <v>21</v>
      </c>
    </row>
    <row r="4" spans="1:39" x14ac:dyDescent="0.25">
      <c r="A4" s="92" t="s">
        <v>994</v>
      </c>
      <c r="B4" s="45">
        <f t="shared" si="3"/>
        <v>89461.249866371683</v>
      </c>
      <c r="C4" s="45">
        <f t="shared" si="4"/>
        <v>89647.611055459143</v>
      </c>
      <c r="D4" s="45">
        <f t="shared" si="5"/>
        <v>89881.111449362375</v>
      </c>
      <c r="E4" s="45">
        <f t="shared" si="6"/>
        <v>90115.223238755789</v>
      </c>
      <c r="F4" s="45">
        <f t="shared" si="7"/>
        <v>90349.948032921049</v>
      </c>
      <c r="G4" s="45">
        <f t="shared" si="8"/>
        <v>90585.287445386755</v>
      </c>
      <c r="H4" s="45">
        <f t="shared" si="9"/>
        <v>90821.243093961937</v>
      </c>
      <c r="I4" s="45">
        <f t="shared" si="10"/>
        <v>91057.816600727441</v>
      </c>
      <c r="J4" s="45">
        <f t="shared" si="11"/>
        <v>91295.009592059825</v>
      </c>
      <c r="K4" s="45">
        <f t="shared" si="12"/>
        <v>91532.823698645865</v>
      </c>
      <c r="L4" s="45">
        <f t="shared" si="13"/>
        <v>90115.223238755789</v>
      </c>
      <c r="M4" s="92" t="s">
        <v>1024</v>
      </c>
      <c r="N4" s="92">
        <f>196-$AD$19</f>
        <v>190</v>
      </c>
      <c r="O4" s="92">
        <v>0</v>
      </c>
      <c r="P4" s="92">
        <v>0</v>
      </c>
      <c r="Q4" s="92">
        <v>0</v>
      </c>
      <c r="R4" s="92">
        <f t="shared" si="0"/>
        <v>6.2295081967213113</v>
      </c>
      <c r="S4" s="45">
        <v>100000</v>
      </c>
      <c r="T4" s="45">
        <v>88600</v>
      </c>
      <c r="U4" s="45">
        <f t="shared" si="1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2"/>
        <v>3618.7743629166666</v>
      </c>
      <c r="AC4">
        <v>20.5</v>
      </c>
    </row>
    <row r="5" spans="1:39" x14ac:dyDescent="0.25">
      <c r="A5" s="93" t="s">
        <v>995</v>
      </c>
      <c r="B5" s="94">
        <f t="shared" si="3"/>
        <v>70557.155408503546</v>
      </c>
      <c r="C5" s="94">
        <f t="shared" si="4"/>
        <v>71018.461136288519</v>
      </c>
      <c r="D5" s="94">
        <f t="shared" si="5"/>
        <v>71599.344092323852</v>
      </c>
      <c r="E5" s="94">
        <f t="shared" si="6"/>
        <v>72184.986328506464</v>
      </c>
      <c r="F5" s="94">
        <f t="shared" si="7"/>
        <v>72775.426904463369</v>
      </c>
      <c r="G5" s="94">
        <f t="shared" si="8"/>
        <v>73370.705200898868</v>
      </c>
      <c r="H5" s="94">
        <f t="shared" si="9"/>
        <v>73970.860922294814</v>
      </c>
      <c r="I5" s="94">
        <f t="shared" si="10"/>
        <v>74575.934099526363</v>
      </c>
      <c r="J5" s="94">
        <f t="shared" si="11"/>
        <v>75185.965092581726</v>
      </c>
      <c r="K5" s="94">
        <f t="shared" si="12"/>
        <v>75800.994593280106</v>
      </c>
      <c r="L5" s="94">
        <f t="shared" si="13"/>
        <v>72184.986328506464</v>
      </c>
      <c r="M5" s="93" t="s">
        <v>1025</v>
      </c>
      <c r="N5" s="93">
        <f>601-$AD$19</f>
        <v>595</v>
      </c>
      <c r="O5" s="93">
        <v>0</v>
      </c>
      <c r="P5" s="93">
        <v>0</v>
      </c>
      <c r="Q5" s="93">
        <v>0</v>
      </c>
      <c r="R5" s="93">
        <f t="shared" si="0"/>
        <v>19.508196721311474</v>
      </c>
      <c r="S5" s="94">
        <v>100000</v>
      </c>
      <c r="T5" s="94">
        <v>71000</v>
      </c>
      <c r="U5" s="94">
        <f t="shared" si="1"/>
        <v>99999.999999999985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2"/>
        <v>4868.309172388681</v>
      </c>
      <c r="AB5" t="s">
        <v>976</v>
      </c>
      <c r="AC5">
        <v>20</v>
      </c>
    </row>
    <row r="6" spans="1:39" x14ac:dyDescent="0.25">
      <c r="A6" s="95" t="s">
        <v>996</v>
      </c>
      <c r="B6" s="89">
        <f t="shared" si="3"/>
        <v>85563.579749961733</v>
      </c>
      <c r="C6" s="89">
        <f t="shared" si="4"/>
        <v>85813.222133330433</v>
      </c>
      <c r="D6" s="89">
        <f t="shared" si="5"/>
        <v>86126.303486180885</v>
      </c>
      <c r="E6" s="89">
        <f t="shared" si="6"/>
        <v>86440.53139635452</v>
      </c>
      <c r="F6" s="89">
        <f t="shared" si="7"/>
        <v>86755.910078530942</v>
      </c>
      <c r="G6" s="89">
        <f t="shared" si="8"/>
        <v>87072.443762925715</v>
      </c>
      <c r="H6" s="89">
        <f t="shared" si="9"/>
        <v>87390.136695377849</v>
      </c>
      <c r="I6" s="89">
        <f t="shared" si="10"/>
        <v>87708.993137380778</v>
      </c>
      <c r="J6" s="89">
        <f t="shared" si="11"/>
        <v>88029.017366157335</v>
      </c>
      <c r="K6" s="89">
        <f t="shared" si="12"/>
        <v>88350.213674721905</v>
      </c>
      <c r="L6" s="89">
        <f t="shared" si="13"/>
        <v>86440.53139635452</v>
      </c>
      <c r="M6" s="95" t="s">
        <v>1026</v>
      </c>
      <c r="N6" s="95">
        <f>272-$AD$19</f>
        <v>266</v>
      </c>
      <c r="O6" s="95">
        <v>0</v>
      </c>
      <c r="P6" s="95">
        <v>0</v>
      </c>
      <c r="Q6" s="95">
        <v>0</v>
      </c>
      <c r="R6" s="95">
        <f t="shared" si="0"/>
        <v>8.721311475409836</v>
      </c>
      <c r="S6" s="89">
        <v>100000</v>
      </c>
      <c r="T6" s="89">
        <v>84500</v>
      </c>
      <c r="U6" s="89">
        <f t="shared" si="1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2"/>
        <v>6140.1273526296127</v>
      </c>
      <c r="AC6">
        <v>19.5</v>
      </c>
    </row>
    <row r="7" spans="1:39" x14ac:dyDescent="0.25">
      <c r="A7" s="16" t="s">
        <v>997</v>
      </c>
      <c r="B7" s="14">
        <f t="shared" si="3"/>
        <v>71724.667358823819</v>
      </c>
      <c r="C7" s="14">
        <f t="shared" si="4"/>
        <v>72171.470025162576</v>
      </c>
      <c r="D7" s="14">
        <f t="shared" si="5"/>
        <v>72733.896386720298</v>
      </c>
      <c r="E7" s="14">
        <f t="shared" si="6"/>
        <v>73300.7134812601</v>
      </c>
      <c r="F7" s="14">
        <f t="shared" si="7"/>
        <v>73871.955647054609</v>
      </c>
      <c r="G7" s="14">
        <f t="shared" si="8"/>
        <v>74447.657491371545</v>
      </c>
      <c r="H7" s="14">
        <f t="shared" si="9"/>
        <v>75027.853892639454</v>
      </c>
      <c r="I7" s="14">
        <f t="shared" si="10"/>
        <v>75612.580002526796</v>
      </c>
      <c r="J7" s="14">
        <f t="shared" si="11"/>
        <v>76201.871248117386</v>
      </c>
      <c r="K7" s="14">
        <f t="shared" si="12"/>
        <v>76795.763334079733</v>
      </c>
      <c r="L7" s="14">
        <f t="shared" si="13"/>
        <v>73300.7134812601</v>
      </c>
      <c r="M7" s="16" t="s">
        <v>1027</v>
      </c>
      <c r="N7" s="16">
        <f>573-$AD$19</f>
        <v>567</v>
      </c>
      <c r="O7" s="16">
        <v>0</v>
      </c>
      <c r="P7" s="16">
        <v>0</v>
      </c>
      <c r="Q7" s="16">
        <v>0</v>
      </c>
      <c r="R7" s="16">
        <f t="shared" si="0"/>
        <v>18.590163934426229</v>
      </c>
      <c r="S7" s="14">
        <v>100000</v>
      </c>
      <c r="T7" s="14">
        <v>71000</v>
      </c>
      <c r="U7" s="14">
        <f t="shared" si="1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2"/>
        <v>7434.626290418174</v>
      </c>
      <c r="AC7">
        <v>19</v>
      </c>
    </row>
    <row r="8" spans="1:39" x14ac:dyDescent="0.25">
      <c r="A8" s="11" t="s">
        <v>998</v>
      </c>
      <c r="B8" s="43">
        <f t="shared" si="3"/>
        <v>84864.333804915717</v>
      </c>
      <c r="C8" s="43">
        <f t="shared" si="4"/>
        <v>85124.987741424702</v>
      </c>
      <c r="D8" s="43">
        <f t="shared" si="5"/>
        <v>85451.935298385317</v>
      </c>
      <c r="E8" s="43">
        <f t="shared" si="6"/>
        <v>85780.143095674866</v>
      </c>
      <c r="F8" s="43">
        <f t="shared" si="7"/>
        <v>86109.616008331985</v>
      </c>
      <c r="G8" s="43">
        <f t="shared" si="8"/>
        <v>86440.358930304996</v>
      </c>
      <c r="H8" s="43">
        <f t="shared" si="9"/>
        <v>86772.376774557008</v>
      </c>
      <c r="I8" s="43">
        <f t="shared" si="10"/>
        <v>87105.674473111925</v>
      </c>
      <c r="J8" s="43">
        <f t="shared" si="11"/>
        <v>87440.256977146302</v>
      </c>
      <c r="K8" s="43">
        <f t="shared" si="12"/>
        <v>87776.129257068227</v>
      </c>
      <c r="L8" s="43">
        <f t="shared" si="13"/>
        <v>85780.143095674866</v>
      </c>
      <c r="M8" s="11" t="s">
        <v>1029</v>
      </c>
      <c r="N8" s="20">
        <f>286-$AD$19</f>
        <v>280</v>
      </c>
      <c r="O8" s="11">
        <v>0</v>
      </c>
      <c r="P8" s="11">
        <v>0</v>
      </c>
      <c r="Q8" s="11">
        <v>0</v>
      </c>
      <c r="R8" s="20">
        <f t="shared" si="0"/>
        <v>9.1803278688524586</v>
      </c>
      <c r="S8" s="3">
        <v>100000</v>
      </c>
      <c r="T8" s="3">
        <v>84000</v>
      </c>
      <c r="U8" s="3">
        <f t="shared" si="1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2"/>
        <v>8752.2104592639662</v>
      </c>
      <c r="AC8">
        <v>18.5</v>
      </c>
    </row>
    <row r="9" spans="1:39" x14ac:dyDescent="0.25">
      <c r="A9" s="16" t="s">
        <v>1014</v>
      </c>
      <c r="B9" s="14">
        <f t="shared" si="3"/>
        <v>76232.829146958858</v>
      </c>
      <c r="C9" s="14">
        <f t="shared" si="4"/>
        <v>76620.389734697397</v>
      </c>
      <c r="D9" s="14">
        <f t="shared" si="5"/>
        <v>77107.618429717942</v>
      </c>
      <c r="E9" s="14">
        <f t="shared" si="6"/>
        <v>77597.952144077091</v>
      </c>
      <c r="F9" s="14">
        <f t="shared" si="7"/>
        <v>78091.410708424432</v>
      </c>
      <c r="G9" s="14">
        <f t="shared" si="8"/>
        <v>78588.014080311346</v>
      </c>
      <c r="H9" s="14">
        <f t="shared" si="9"/>
        <v>79087.782345052095</v>
      </c>
      <c r="I9" s="14">
        <f t="shared" si="10"/>
        <v>79590.735716501003</v>
      </c>
      <c r="J9" s="14">
        <f t="shared" si="11"/>
        <v>80096.894537903849</v>
      </c>
      <c r="K9" s="14">
        <f t="shared" si="12"/>
        <v>80606.2792827339</v>
      </c>
      <c r="L9" s="14">
        <f t="shared" si="13"/>
        <v>77597.952144077091</v>
      </c>
      <c r="M9" s="16" t="s">
        <v>1028</v>
      </c>
      <c r="N9" s="16">
        <f>469-$AD$19</f>
        <v>463</v>
      </c>
      <c r="O9" s="16">
        <v>0</v>
      </c>
      <c r="P9" s="16">
        <v>0</v>
      </c>
      <c r="Q9" s="16">
        <v>0</v>
      </c>
      <c r="R9" s="16">
        <f t="shared" si="0"/>
        <v>15.180327868852459</v>
      </c>
      <c r="S9" s="14">
        <v>100000</v>
      </c>
      <c r="T9" s="14">
        <v>75500</v>
      </c>
      <c r="U9" s="14">
        <f t="shared" si="1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2"/>
        <v>10093.291545787508</v>
      </c>
      <c r="AC9">
        <v>18</v>
      </c>
    </row>
    <row r="10" spans="1:39" x14ac:dyDescent="0.25">
      <c r="A10" s="95" t="s">
        <v>1015</v>
      </c>
      <c r="B10" s="89">
        <f t="shared" si="3"/>
        <v>76232.829146958858</v>
      </c>
      <c r="C10" s="89">
        <f t="shared" si="4"/>
        <v>76620.389734697397</v>
      </c>
      <c r="D10" s="89">
        <f t="shared" si="5"/>
        <v>77107.618429717942</v>
      </c>
      <c r="E10" s="89">
        <f t="shared" si="6"/>
        <v>77597.952144077091</v>
      </c>
      <c r="F10" s="89">
        <f t="shared" si="7"/>
        <v>78091.410708424432</v>
      </c>
      <c r="G10" s="89">
        <f t="shared" si="8"/>
        <v>78588.014080311346</v>
      </c>
      <c r="H10" s="89">
        <f t="shared" si="9"/>
        <v>79087.782345052095</v>
      </c>
      <c r="I10" s="89">
        <f t="shared" si="10"/>
        <v>79590.735716501003</v>
      </c>
      <c r="J10" s="89">
        <f t="shared" si="11"/>
        <v>80096.894537903849</v>
      </c>
      <c r="K10" s="89">
        <f t="shared" si="12"/>
        <v>80606.2792827339</v>
      </c>
      <c r="L10" s="89">
        <f t="shared" si="13"/>
        <v>77597.952144077091</v>
      </c>
      <c r="M10" s="95" t="s">
        <v>1028</v>
      </c>
      <c r="N10" s="95">
        <f>469-$AD$19</f>
        <v>463</v>
      </c>
      <c r="O10" s="95">
        <v>0</v>
      </c>
      <c r="P10" s="95">
        <v>0</v>
      </c>
      <c r="Q10" s="95">
        <v>0</v>
      </c>
      <c r="R10" s="95">
        <f t="shared" si="0"/>
        <v>15.180327868852459</v>
      </c>
      <c r="S10" s="89">
        <v>100000</v>
      </c>
      <c r="T10" s="89">
        <v>75500</v>
      </c>
      <c r="U10" s="89">
        <f t="shared" si="1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2"/>
        <v>11458.288578354051</v>
      </c>
      <c r="AC10">
        <v>17.5</v>
      </c>
      <c r="AF10" s="26"/>
    </row>
    <row r="11" spans="1:39" x14ac:dyDescent="0.25">
      <c r="A11" s="16" t="s">
        <v>1016</v>
      </c>
      <c r="B11" s="14">
        <f t="shared" si="3"/>
        <v>69694.010086363065</v>
      </c>
      <c r="C11" s="14">
        <f t="shared" si="4"/>
        <v>70165.809051289514</v>
      </c>
      <c r="D11" s="14">
        <f t="shared" si="5"/>
        <v>70760.059033932834</v>
      </c>
      <c r="E11" s="14">
        <f t="shared" si="6"/>
        <v>71359.350092475346</v>
      </c>
      <c r="F11" s="14">
        <f t="shared" si="7"/>
        <v>71963.725060727709</v>
      </c>
      <c r="G11" s="14">
        <f t="shared" si="8"/>
        <v>72573.227137022564</v>
      </c>
      <c r="H11" s="14">
        <f t="shared" si="9"/>
        <v>73187.899887379885</v>
      </c>
      <c r="I11" s="14">
        <f t="shared" si="10"/>
        <v>73807.78724858955</v>
      </c>
      <c r="J11" s="14">
        <f t="shared" si="11"/>
        <v>74432.933531404749</v>
      </c>
      <c r="K11" s="14">
        <f t="shared" si="12"/>
        <v>75063.383423738182</v>
      </c>
      <c r="L11" s="14">
        <f t="shared" si="13"/>
        <v>71359.350092475346</v>
      </c>
      <c r="M11" s="16" t="s">
        <v>1032</v>
      </c>
      <c r="N11" s="16">
        <f>622-$AD$19</f>
        <v>616</v>
      </c>
      <c r="O11" s="16">
        <v>0</v>
      </c>
      <c r="P11" s="16">
        <v>0</v>
      </c>
      <c r="Q11" s="16">
        <v>0</v>
      </c>
      <c r="R11" s="16">
        <f t="shared" si="0"/>
        <v>20.196721311475411</v>
      </c>
      <c r="S11" s="14">
        <v>100000</v>
      </c>
      <c r="T11" s="14">
        <v>70000</v>
      </c>
      <c r="U11" s="14">
        <f t="shared" si="1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2"/>
        <v>12847.628058001366</v>
      </c>
      <c r="AC11">
        <v>17</v>
      </c>
      <c r="AF11" s="26"/>
    </row>
    <row r="12" spans="1:39" x14ac:dyDescent="0.25">
      <c r="A12" s="11" t="s">
        <v>1017</v>
      </c>
      <c r="B12" s="43">
        <f t="shared" si="3"/>
        <v>86218.037430154392</v>
      </c>
      <c r="C12" s="43">
        <f t="shared" si="4"/>
        <v>86457.278347419735</v>
      </c>
      <c r="D12" s="43">
        <f t="shared" si="5"/>
        <v>86757.266957648637</v>
      </c>
      <c r="E12" s="43">
        <f t="shared" si="6"/>
        <v>87058.30059393734</v>
      </c>
      <c r="F12" s="43">
        <f t="shared" si="7"/>
        <v>87360.382911078224</v>
      </c>
      <c r="G12" s="43">
        <f t="shared" si="8"/>
        <v>87663.517576681508</v>
      </c>
      <c r="H12" s="43">
        <f t="shared" si="9"/>
        <v>87967.708271249241</v>
      </c>
      <c r="I12" s="43">
        <f t="shared" si="10"/>
        <v>88272.958688195038</v>
      </c>
      <c r="J12" s="43">
        <f t="shared" si="11"/>
        <v>88579.272533905634</v>
      </c>
      <c r="K12" s="43">
        <f t="shared" si="12"/>
        <v>88886.653527790739</v>
      </c>
      <c r="L12" s="43">
        <f t="shared" si="13"/>
        <v>87058.30059393734</v>
      </c>
      <c r="M12" s="11" t="s">
        <v>1033</v>
      </c>
      <c r="N12" s="20">
        <f>259-$AD$19</f>
        <v>253</v>
      </c>
      <c r="O12" s="11">
        <v>0</v>
      </c>
      <c r="P12" s="11">
        <v>0</v>
      </c>
      <c r="Q12" s="11">
        <v>0</v>
      </c>
      <c r="R12" s="20">
        <f t="shared" si="0"/>
        <v>8.2950819672131146</v>
      </c>
      <c r="S12" s="3">
        <v>100000</v>
      </c>
      <c r="T12" s="3">
        <v>86600</v>
      </c>
      <c r="U12" s="3">
        <f t="shared" si="1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2"/>
        <v>14261.744091702391</v>
      </c>
      <c r="AF12" s="26"/>
    </row>
    <row r="13" spans="1:39" x14ac:dyDescent="0.25">
      <c r="A13" s="93" t="s">
        <v>1018</v>
      </c>
      <c r="B13" s="94">
        <f t="shared" si="3"/>
        <v>67167.413592578625</v>
      </c>
      <c r="C13" s="94">
        <f t="shared" si="4"/>
        <v>67668.784613416981</v>
      </c>
      <c r="D13" s="94">
        <f t="shared" si="5"/>
        <v>68300.772348642713</v>
      </c>
      <c r="E13" s="94">
        <f t="shared" si="6"/>
        <v>68938.671261782511</v>
      </c>
      <c r="F13" s="94">
        <f t="shared" si="7"/>
        <v>69582.536724005608</v>
      </c>
      <c r="G13" s="94">
        <f t="shared" si="8"/>
        <v>70232.424625891857</v>
      </c>
      <c r="H13" s="94">
        <f t="shared" si="9"/>
        <v>70888.391382373142</v>
      </c>
      <c r="I13" s="94">
        <f t="shared" si="10"/>
        <v>71550.493937604304</v>
      </c>
      <c r="J13" s="94">
        <f t="shared" si="11"/>
        <v>72218.789769970259</v>
      </c>
      <c r="K13" s="94">
        <f t="shared" si="12"/>
        <v>72893.336897113913</v>
      </c>
      <c r="L13" s="94">
        <f t="shared" si="13"/>
        <v>68938.671261782511</v>
      </c>
      <c r="M13" s="93" t="s">
        <v>1034</v>
      </c>
      <c r="N13" s="93">
        <f>685-$AD$19</f>
        <v>679</v>
      </c>
      <c r="O13" s="93">
        <v>0</v>
      </c>
      <c r="P13" s="93">
        <v>0</v>
      </c>
      <c r="Q13" s="93">
        <v>0</v>
      </c>
      <c r="R13" s="93">
        <f t="shared" si="0"/>
        <v>22.262295081967213</v>
      </c>
      <c r="S13" s="94">
        <v>100000</v>
      </c>
      <c r="T13" s="94">
        <v>68000</v>
      </c>
      <c r="U13" s="94">
        <f t="shared" si="1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2"/>
        <v>15701.078528004417</v>
      </c>
      <c r="AF13" s="26"/>
    </row>
    <row r="14" spans="1:39" x14ac:dyDescent="0.25">
      <c r="A14" s="95" t="s">
        <v>1019</v>
      </c>
      <c r="B14" s="89">
        <f t="shared" si="3"/>
        <v>68278.835355366813</v>
      </c>
      <c r="C14" s="89">
        <f t="shared" si="4"/>
        <v>68767.410363823496</v>
      </c>
      <c r="D14" s="89">
        <f t="shared" si="5"/>
        <v>69383.055977907308</v>
      </c>
      <c r="E14" s="89">
        <f t="shared" si="6"/>
        <v>70004.22174968438</v>
      </c>
      <c r="F14" s="89">
        <f t="shared" si="7"/>
        <v>70630.957252001215</v>
      </c>
      <c r="G14" s="89">
        <f t="shared" si="8"/>
        <v>71263.31250354278</v>
      </c>
      <c r="H14" s="89">
        <f t="shared" si="9"/>
        <v>71901.337972908543</v>
      </c>
      <c r="I14" s="89">
        <f t="shared" si="10"/>
        <v>72545.084582611613</v>
      </c>
      <c r="J14" s="89">
        <f t="shared" si="11"/>
        <v>73194.603713201635</v>
      </c>
      <c r="K14" s="89">
        <f t="shared" si="12"/>
        <v>73849.947207399382</v>
      </c>
      <c r="L14" s="89">
        <f t="shared" si="13"/>
        <v>70004.22174968438</v>
      </c>
      <c r="M14" s="95" t="s">
        <v>1035</v>
      </c>
      <c r="N14" s="95">
        <f>657-$AD$19</f>
        <v>651</v>
      </c>
      <c r="O14" s="95">
        <v>0</v>
      </c>
      <c r="P14" s="95">
        <v>0</v>
      </c>
      <c r="Q14" s="95">
        <v>0</v>
      </c>
      <c r="R14" s="95">
        <f t="shared" si="0"/>
        <v>21.344262295081968</v>
      </c>
      <c r="S14" s="89">
        <v>100000</v>
      </c>
      <c r="T14" s="89">
        <v>69000</v>
      </c>
      <c r="U14" s="89">
        <f t="shared" si="1"/>
        <v>99999.999999999985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2"/>
        <v>17166.08109508716</v>
      </c>
      <c r="AF14" s="26"/>
    </row>
    <row r="15" spans="1:39" x14ac:dyDescent="0.25">
      <c r="A15" s="16" t="s">
        <v>1020</v>
      </c>
      <c r="B15" s="14">
        <f t="shared" si="3"/>
        <v>68278.835355366813</v>
      </c>
      <c r="C15" s="14">
        <f t="shared" si="4"/>
        <v>68767.410363823496</v>
      </c>
      <c r="D15" s="14">
        <f t="shared" si="5"/>
        <v>69383.055977907308</v>
      </c>
      <c r="E15" s="14">
        <f t="shared" si="6"/>
        <v>70004.22174968438</v>
      </c>
      <c r="F15" s="14">
        <f t="shared" si="7"/>
        <v>70630.957252001215</v>
      </c>
      <c r="G15" s="14">
        <f t="shared" si="8"/>
        <v>71263.31250354278</v>
      </c>
      <c r="H15" s="14">
        <f t="shared" si="9"/>
        <v>71901.337972908543</v>
      </c>
      <c r="I15" s="14">
        <f t="shared" si="10"/>
        <v>72545.084582611613</v>
      </c>
      <c r="J15" s="14">
        <f t="shared" si="11"/>
        <v>73194.603713201635</v>
      </c>
      <c r="K15" s="14">
        <f t="shared" si="12"/>
        <v>73849.947207399382</v>
      </c>
      <c r="L15" s="14">
        <f t="shared" si="13"/>
        <v>70004.22174968438</v>
      </c>
      <c r="M15" s="16" t="s">
        <v>1035</v>
      </c>
      <c r="N15" s="16">
        <f>657-$AD$19</f>
        <v>651</v>
      </c>
      <c r="O15" s="16">
        <v>0</v>
      </c>
      <c r="P15" s="16">
        <v>0</v>
      </c>
      <c r="Q15" s="16">
        <v>0</v>
      </c>
      <c r="R15" s="16">
        <f t="shared" si="0"/>
        <v>21.344262295081968</v>
      </c>
      <c r="S15" s="14">
        <v>100000</v>
      </c>
      <c r="T15" s="14">
        <v>69000</v>
      </c>
      <c r="U15" s="14">
        <f t="shared" si="1"/>
        <v>99999.999999999985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2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11" t="s">
        <v>1021</v>
      </c>
      <c r="B16" s="43">
        <f t="shared" si="3"/>
        <v>70557.155408503546</v>
      </c>
      <c r="C16" s="43">
        <f t="shared" si="4"/>
        <v>71018.461136288519</v>
      </c>
      <c r="D16" s="43">
        <f t="shared" si="5"/>
        <v>71599.344092323852</v>
      </c>
      <c r="E16" s="43">
        <f t="shared" si="6"/>
        <v>72184.986328506464</v>
      </c>
      <c r="F16" s="43">
        <f t="shared" si="7"/>
        <v>72775.426904463369</v>
      </c>
      <c r="G16" s="43">
        <f t="shared" si="8"/>
        <v>73370.705200898868</v>
      </c>
      <c r="H16" s="43">
        <f t="shared" si="9"/>
        <v>73970.860922294814</v>
      </c>
      <c r="I16" s="43">
        <f t="shared" si="10"/>
        <v>74575.934099526363</v>
      </c>
      <c r="J16" s="43">
        <f t="shared" si="11"/>
        <v>75185.965092581726</v>
      </c>
      <c r="K16" s="43">
        <f t="shared" si="12"/>
        <v>75800.994593280106</v>
      </c>
      <c r="L16" s="43">
        <f t="shared" si="13"/>
        <v>72184.986328506464</v>
      </c>
      <c r="M16" s="11" t="s">
        <v>1025</v>
      </c>
      <c r="N16" s="20">
        <f>601-$AD$19</f>
        <v>595</v>
      </c>
      <c r="O16" s="11">
        <v>0</v>
      </c>
      <c r="P16" s="11">
        <v>0</v>
      </c>
      <c r="Q16" s="11">
        <v>0</v>
      </c>
      <c r="R16" s="20">
        <f t="shared" si="0"/>
        <v>19.508196721311474</v>
      </c>
      <c r="S16" s="3">
        <v>100000</v>
      </c>
      <c r="T16" s="3">
        <v>70500</v>
      </c>
      <c r="U16" s="3">
        <f t="shared" si="1"/>
        <v>99999.999999999985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2"/>
        <v>20174.929778102429</v>
      </c>
      <c r="AF16" s="26"/>
    </row>
    <row r="17" spans="1:32" x14ac:dyDescent="0.25">
      <c r="A17" s="93" t="s">
        <v>1039</v>
      </c>
      <c r="B17" s="94">
        <f t="shared" si="3"/>
        <v>82086.742314945208</v>
      </c>
      <c r="C17" s="94">
        <f t="shared" si="4"/>
        <v>83347.471876282449</v>
      </c>
      <c r="D17" s="94">
        <f t="shared" si="5"/>
        <v>84950.667635913676</v>
      </c>
      <c r="E17" s="94">
        <f t="shared" si="6"/>
        <v>86584.723598693003</v>
      </c>
      <c r="F17" s="94">
        <f t="shared" si="7"/>
        <v>88250.234233198236</v>
      </c>
      <c r="G17" s="94">
        <f t="shared" si="8"/>
        <v>89947.805467809289</v>
      </c>
      <c r="H17" s="94">
        <f t="shared" si="9"/>
        <v>91678.054911648884</v>
      </c>
      <c r="I17" s="94">
        <f t="shared" si="10"/>
        <v>93441.612080211125</v>
      </c>
      <c r="J17" s="94">
        <f t="shared" si="11"/>
        <v>95239.118624753304</v>
      </c>
      <c r="K17" s="94">
        <f t="shared" si="12"/>
        <v>97071.228566674981</v>
      </c>
      <c r="L17" s="94">
        <f t="shared" si="13"/>
        <v>86584.723598693003</v>
      </c>
      <c r="M17" s="93" t="s">
        <v>1040</v>
      </c>
      <c r="N17" s="93">
        <f>1397-$AD$19</f>
        <v>1391</v>
      </c>
      <c r="O17" s="93">
        <v>17</v>
      </c>
      <c r="P17" s="93">
        <f>$AI$2</f>
        <v>0.78</v>
      </c>
      <c r="Q17" s="93">
        <v>6</v>
      </c>
      <c r="R17" s="93">
        <f t="shared" si="0"/>
        <v>45.606557377049178</v>
      </c>
      <c r="S17" s="94">
        <v>100000</v>
      </c>
      <c r="T17" s="94">
        <v>96000</v>
      </c>
      <c r="U17" s="94">
        <f t="shared" si="1"/>
        <v>185505.16818829643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2"/>
        <v>21719.716025811922</v>
      </c>
      <c r="AF17" s="26"/>
    </row>
    <row r="18" spans="1:32" x14ac:dyDescent="0.25">
      <c r="A18" s="11" t="s">
        <v>987</v>
      </c>
      <c r="B18" s="85">
        <f t="shared" si="3"/>
        <v>98062.233213752697</v>
      </c>
      <c r="C18" s="85">
        <f t="shared" si="4"/>
        <v>98663.709850494852</v>
      </c>
      <c r="D18" s="85">
        <f t="shared" si="5"/>
        <v>99420.755643903394</v>
      </c>
      <c r="E18" s="85">
        <f t="shared" si="6"/>
        <v>100183.62073314599</v>
      </c>
      <c r="F18" s="85">
        <f t="shared" si="7"/>
        <v>100952.34993091409</v>
      </c>
      <c r="G18" s="85">
        <f t="shared" si="8"/>
        <v>101726.98839560473</v>
      </c>
      <c r="H18" s="85">
        <f t="shared" si="9"/>
        <v>102507.58163398423</v>
      </c>
      <c r="I18" s="85">
        <f t="shared" si="10"/>
        <v>103294.17550390019</v>
      </c>
      <c r="J18" s="85">
        <f t="shared" si="11"/>
        <v>104086.8162169851</v>
      </c>
      <c r="K18" s="85">
        <f t="shared" si="12"/>
        <v>104885.55034139325</v>
      </c>
      <c r="L18" s="85">
        <f t="shared" si="13"/>
        <v>100183.62073314599</v>
      </c>
      <c r="M18" s="11" t="s">
        <v>1006</v>
      </c>
      <c r="N18" s="20">
        <f>564-$AD$19</f>
        <v>558</v>
      </c>
      <c r="O18" s="11">
        <v>21</v>
      </c>
      <c r="P18" s="11">
        <f t="shared" ref="P18:P23" si="17">$AI$1</f>
        <v>0.88</v>
      </c>
      <c r="Q18" s="11">
        <v>3</v>
      </c>
      <c r="R18" s="20">
        <f t="shared" si="0"/>
        <v>18.295081967213115</v>
      </c>
      <c r="S18" s="3">
        <v>100000</v>
      </c>
      <c r="T18" s="3">
        <v>98000</v>
      </c>
      <c r="U18" s="3">
        <f t="shared" si="1"/>
        <v>136001.04992132267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2"/>
        <v>23292.050961605568</v>
      </c>
      <c r="AC18" t="s">
        <v>1037</v>
      </c>
      <c r="AD18" t="s">
        <v>1082</v>
      </c>
      <c r="AF18" s="26"/>
    </row>
    <row r="19" spans="1:32" x14ac:dyDescent="0.25">
      <c r="A19" s="16" t="s">
        <v>988</v>
      </c>
      <c r="B19" s="14">
        <f t="shared" si="3"/>
        <v>90581.245560975411</v>
      </c>
      <c r="C19" s="14">
        <f t="shared" si="4"/>
        <v>91153.737977998782</v>
      </c>
      <c r="D19" s="14">
        <f t="shared" si="5"/>
        <v>91874.453289807265</v>
      </c>
      <c r="E19" s="14">
        <f t="shared" si="6"/>
        <v>92600.876991409939</v>
      </c>
      <c r="F19" s="14">
        <f t="shared" si="7"/>
        <v>93333.054374960746</v>
      </c>
      <c r="G19" s="14">
        <f t="shared" si="8"/>
        <v>94071.031092566423</v>
      </c>
      <c r="H19" s="14">
        <f t="shared" si="9"/>
        <v>94814.85315921258</v>
      </c>
      <c r="I19" s="14">
        <f t="shared" si="10"/>
        <v>95564.566955640679</v>
      </c>
      <c r="J19" s="14">
        <f t="shared" si="11"/>
        <v>96320.219231210518</v>
      </c>
      <c r="K19" s="14">
        <f t="shared" si="12"/>
        <v>97081.8571069108</v>
      </c>
      <c r="L19" s="14">
        <f t="shared" si="13"/>
        <v>92600.876991409939</v>
      </c>
      <c r="M19" s="16" t="s">
        <v>1007</v>
      </c>
      <c r="N19" s="16">
        <f>581-$AD$19</f>
        <v>575</v>
      </c>
      <c r="O19" s="16">
        <v>16</v>
      </c>
      <c r="P19" s="11">
        <f t="shared" si="17"/>
        <v>0.88</v>
      </c>
      <c r="Q19" s="16">
        <v>3</v>
      </c>
      <c r="R19" s="16">
        <f t="shared" si="0"/>
        <v>18.852459016393443</v>
      </c>
      <c r="S19" s="14">
        <v>100000</v>
      </c>
      <c r="T19" s="14">
        <v>91000</v>
      </c>
      <c r="U19" s="14">
        <f t="shared" si="1"/>
        <v>126883.79750625408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2"/>
        <v>24892.42587042087</v>
      </c>
      <c r="AC19" t="s">
        <v>1091</v>
      </c>
      <c r="AD19">
        <v>6</v>
      </c>
      <c r="AF19" s="26"/>
    </row>
    <row r="20" spans="1:32" x14ac:dyDescent="0.25">
      <c r="A20" s="20" t="s">
        <v>981</v>
      </c>
      <c r="B20" s="43">
        <f t="shared" si="3"/>
        <v>97825.240475586004</v>
      </c>
      <c r="C20" s="43">
        <f t="shared" si="4"/>
        <v>98499.715109563389</v>
      </c>
      <c r="D20" s="43">
        <f t="shared" si="5"/>
        <v>99349.362148904926</v>
      </c>
      <c r="E20" s="43">
        <f t="shared" si="6"/>
        <v>100206.34993420816</v>
      </c>
      <c r="F20" s="43">
        <f t="shared" si="7"/>
        <v>101070.74198962977</v>
      </c>
      <c r="G20" s="43">
        <f t="shared" si="8"/>
        <v>101942.60238991768</v>
      </c>
      <c r="H20" s="43">
        <f t="shared" si="9"/>
        <v>102821.99576518187</v>
      </c>
      <c r="I20" s="43">
        <f t="shared" si="10"/>
        <v>103708.9873057376</v>
      </c>
      <c r="J20" s="43">
        <f t="shared" si="11"/>
        <v>104603.6427669582</v>
      </c>
      <c r="K20" s="43">
        <f t="shared" si="12"/>
        <v>105506.02847418349</v>
      </c>
      <c r="L20" s="43">
        <f t="shared" si="13"/>
        <v>100206.34993420816</v>
      </c>
      <c r="M20" s="11" t="s">
        <v>1008</v>
      </c>
      <c r="N20" s="20">
        <f>633-$AD$19</f>
        <v>627</v>
      </c>
      <c r="O20" s="11">
        <v>21</v>
      </c>
      <c r="P20" s="11">
        <f t="shared" si="17"/>
        <v>0.88</v>
      </c>
      <c r="Q20" s="11">
        <v>3</v>
      </c>
      <c r="R20" s="20">
        <f t="shared" si="0"/>
        <v>20.557377049180328</v>
      </c>
      <c r="S20" s="3">
        <v>100000</v>
      </c>
      <c r="T20" s="3">
        <v>97200</v>
      </c>
      <c r="U20" s="3">
        <f t="shared" si="1"/>
        <v>141271.82366553918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2"/>
        <v>26521.340798443376</v>
      </c>
      <c r="AF20" s="26"/>
    </row>
    <row r="21" spans="1:32" x14ac:dyDescent="0.25">
      <c r="A21" s="95" t="s">
        <v>974</v>
      </c>
      <c r="B21" s="89">
        <f t="shared" si="3"/>
        <v>97592.242784522809</v>
      </c>
      <c r="C21" s="89">
        <f t="shared" si="4"/>
        <v>98338.363794290781</v>
      </c>
      <c r="D21" s="89">
        <f t="shared" si="5"/>
        <v>99279.05350056602</v>
      </c>
      <c r="E21" s="89">
        <f t="shared" si="6"/>
        <v>100228.75477169026</v>
      </c>
      <c r="F21" s="89">
        <f t="shared" si="7"/>
        <v>101187.55406137079</v>
      </c>
      <c r="G21" s="89">
        <f t="shared" si="8"/>
        <v>102155.53865391614</v>
      </c>
      <c r="H21" s="89">
        <f t="shared" si="9"/>
        <v>103132.79667221756</v>
      </c>
      <c r="I21" s="89">
        <f t="shared" si="10"/>
        <v>104119.41708584171</v>
      </c>
      <c r="J21" s="89">
        <f t="shared" si="11"/>
        <v>105115.48971916521</v>
      </c>
      <c r="K21" s="89">
        <f t="shared" si="12"/>
        <v>106121.10525960251</v>
      </c>
      <c r="L21" s="89">
        <f t="shared" si="13"/>
        <v>100228.75477169026</v>
      </c>
      <c r="M21" s="95" t="s">
        <v>1009</v>
      </c>
      <c r="N21" s="95">
        <f>701-$AD$19</f>
        <v>695</v>
      </c>
      <c r="O21" s="95">
        <v>21</v>
      </c>
      <c r="P21" s="95">
        <f t="shared" si="17"/>
        <v>0.88</v>
      </c>
      <c r="Q21" s="95">
        <v>3</v>
      </c>
      <c r="R21" s="95">
        <f t="shared" si="0"/>
        <v>22.78688524590164</v>
      </c>
      <c r="S21" s="89">
        <v>100000</v>
      </c>
      <c r="T21" s="89">
        <v>99500</v>
      </c>
      <c r="U21" s="89">
        <f t="shared" si="1"/>
        <v>146666.02400312177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2"/>
        <v>28179.304709348951</v>
      </c>
      <c r="AE21" s="25"/>
      <c r="AF21" s="26"/>
    </row>
    <row r="22" spans="1:32" x14ac:dyDescent="0.25">
      <c r="A22" s="93" t="s">
        <v>989</v>
      </c>
      <c r="B22" s="94">
        <f t="shared" si="3"/>
        <v>91882.742999900845</v>
      </c>
      <c r="C22" s="94">
        <f t="shared" si="4"/>
        <v>92612.551326639659</v>
      </c>
      <c r="D22" s="94">
        <f t="shared" si="5"/>
        <v>93532.98018823957</v>
      </c>
      <c r="E22" s="94">
        <f t="shared" si="6"/>
        <v>94462.569518257471</v>
      </c>
      <c r="F22" s="94">
        <f t="shared" si="7"/>
        <v>95401.410612586653</v>
      </c>
      <c r="G22" s="94">
        <f t="shared" si="8"/>
        <v>96349.595678316837</v>
      </c>
      <c r="H22" s="94">
        <f t="shared" si="9"/>
        <v>97307.217842766593</v>
      </c>
      <c r="I22" s="94">
        <f t="shared" si="10"/>
        <v>98274.371162724186</v>
      </c>
      <c r="J22" s="94">
        <f t="shared" si="11"/>
        <v>99251.15063374523</v>
      </c>
      <c r="K22" s="94">
        <f t="shared" si="12"/>
        <v>100237.65219944179</v>
      </c>
      <c r="L22" s="94">
        <f t="shared" si="13"/>
        <v>94462.569518257471</v>
      </c>
      <c r="M22" s="93" t="s">
        <v>1038</v>
      </c>
      <c r="N22" s="93">
        <f>728-$AD$19</f>
        <v>722</v>
      </c>
      <c r="O22" s="93">
        <v>18</v>
      </c>
      <c r="P22" s="93">
        <f t="shared" si="17"/>
        <v>0.88</v>
      </c>
      <c r="Q22" s="93">
        <v>3</v>
      </c>
      <c r="R22" s="93">
        <f t="shared" si="0"/>
        <v>23.672131147540984</v>
      </c>
      <c r="S22" s="94">
        <v>100000</v>
      </c>
      <c r="T22" s="94">
        <v>93000</v>
      </c>
      <c r="U22" s="94">
        <f t="shared" si="1"/>
        <v>140288.18561718499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2"/>
        <v>29866.835643332342</v>
      </c>
      <c r="AE22" s="25"/>
      <c r="AF22" s="26"/>
    </row>
    <row r="23" spans="1:32" x14ac:dyDescent="0.25">
      <c r="A23" s="16" t="s">
        <v>990</v>
      </c>
      <c r="B23" s="14">
        <f t="shared" si="3"/>
        <v>89189.524063209901</v>
      </c>
      <c r="C23" s="14">
        <f t="shared" si="4"/>
        <v>89841.77314555757</v>
      </c>
      <c r="D23" s="14">
        <f t="shared" si="5"/>
        <v>90663.806491013849</v>
      </c>
      <c r="E23" s="14">
        <f t="shared" si="6"/>
        <v>91493.372682823363</v>
      </c>
      <c r="F23" s="14">
        <f t="shared" si="7"/>
        <v>92330.540854160354</v>
      </c>
      <c r="G23" s="14">
        <f t="shared" si="8"/>
        <v>93175.380773590397</v>
      </c>
      <c r="H23" s="14">
        <f t="shared" si="9"/>
        <v>94027.962850988653</v>
      </c>
      <c r="I23" s="14">
        <f t="shared" si="10"/>
        <v>94888.358143428966</v>
      </c>
      <c r="J23" s="14">
        <f t="shared" si="11"/>
        <v>95756.638361084959</v>
      </c>
      <c r="K23" s="14">
        <f t="shared" si="12"/>
        <v>96632.875873328565</v>
      </c>
      <c r="L23" s="14">
        <f t="shared" si="13"/>
        <v>91493.372682823363</v>
      </c>
      <c r="M23" s="16" t="s">
        <v>1010</v>
      </c>
      <c r="N23" s="16">
        <f>671-$AD$19</f>
        <v>665</v>
      </c>
      <c r="O23" s="16">
        <v>16</v>
      </c>
      <c r="P23" s="11">
        <f t="shared" si="17"/>
        <v>0.88</v>
      </c>
      <c r="Q23" s="16">
        <v>3</v>
      </c>
      <c r="R23" s="16">
        <f t="shared" si="0"/>
        <v>21.803278688524589</v>
      </c>
      <c r="S23" s="14">
        <v>100000</v>
      </c>
      <c r="T23" s="14">
        <v>90000</v>
      </c>
      <c r="U23" s="14">
        <f t="shared" si="1"/>
        <v>131701.73050660736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2"/>
        <v>31584.460878971771</v>
      </c>
      <c r="AC23" t="s">
        <v>977</v>
      </c>
      <c r="AD23" t="s">
        <v>1092</v>
      </c>
      <c r="AE23" s="25"/>
      <c r="AF23" s="26"/>
    </row>
    <row r="24" spans="1:32" x14ac:dyDescent="0.25">
      <c r="A24" s="96" t="s">
        <v>991</v>
      </c>
      <c r="B24" s="97">
        <f t="shared" si="3"/>
        <v>82484.282101387653</v>
      </c>
      <c r="C24" s="97">
        <f t="shared" si="4"/>
        <v>83373.829989601072</v>
      </c>
      <c r="D24" s="97">
        <f t="shared" si="5"/>
        <v>84499.281476198477</v>
      </c>
      <c r="E24" s="97">
        <f t="shared" si="6"/>
        <v>85639.941000195045</v>
      </c>
      <c r="F24" s="97">
        <f t="shared" si="7"/>
        <v>86796.014277775976</v>
      </c>
      <c r="G24" s="97">
        <f t="shared" si="8"/>
        <v>87967.709810663247</v>
      </c>
      <c r="H24" s="97">
        <f t="shared" si="9"/>
        <v>89155.238923962359</v>
      </c>
      <c r="I24" s="97">
        <f t="shared" si="10"/>
        <v>90358.815804283731</v>
      </c>
      <c r="J24" s="97">
        <f t="shared" si="11"/>
        <v>91578.657538674655</v>
      </c>
      <c r="K24" s="97">
        <f t="shared" si="12"/>
        <v>92814.984153881407</v>
      </c>
      <c r="L24" s="97">
        <f t="shared" si="13"/>
        <v>85639.941000195045</v>
      </c>
      <c r="M24" s="96" t="s">
        <v>1011</v>
      </c>
      <c r="N24" s="96">
        <f>985-$AD$19</f>
        <v>979</v>
      </c>
      <c r="O24" s="96">
        <v>15</v>
      </c>
      <c r="P24" s="96">
        <f>$AI$2</f>
        <v>0.78</v>
      </c>
      <c r="Q24" s="96">
        <v>6</v>
      </c>
      <c r="R24" s="96">
        <f t="shared" si="0"/>
        <v>32.098360655737707</v>
      </c>
      <c r="S24" s="97">
        <v>100000</v>
      </c>
      <c r="T24" s="97">
        <v>85500</v>
      </c>
      <c r="U24" s="97">
        <f t="shared" si="1"/>
        <v>146412.59024373878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2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5" t="s">
        <v>965</v>
      </c>
      <c r="B25" s="89">
        <f t="shared" si="3"/>
        <v>81119.382872269271</v>
      </c>
      <c r="C25" s="89">
        <f t="shared" si="4"/>
        <v>81437.185249428221</v>
      </c>
      <c r="D25" s="89">
        <f t="shared" si="5"/>
        <v>81836.19458360353</v>
      </c>
      <c r="E25" s="89">
        <f t="shared" si="6"/>
        <v>82237.164405487463</v>
      </c>
      <c r="F25" s="89">
        <f t="shared" si="7"/>
        <v>82640.10437476552</v>
      </c>
      <c r="G25" s="89">
        <f t="shared" si="8"/>
        <v>83045.024198832121</v>
      </c>
      <c r="H25" s="89">
        <f t="shared" si="9"/>
        <v>83451.93363306555</v>
      </c>
      <c r="I25" s="89">
        <f t="shared" si="10"/>
        <v>83860.842481031345</v>
      </c>
      <c r="J25" s="89">
        <f t="shared" si="11"/>
        <v>84271.76059474262</v>
      </c>
      <c r="K25" s="89">
        <f t="shared" si="12"/>
        <v>84684.697874905323</v>
      </c>
      <c r="L25" s="89">
        <f t="shared" si="13"/>
        <v>82237.164405487463</v>
      </c>
      <c r="M25" s="95" t="s">
        <v>1012</v>
      </c>
      <c r="N25" s="95">
        <f>363-$AD$19</f>
        <v>357</v>
      </c>
      <c r="O25" s="95">
        <v>0</v>
      </c>
      <c r="P25" s="95">
        <v>0</v>
      </c>
      <c r="Q25" s="95">
        <v>0</v>
      </c>
      <c r="R25" s="95">
        <f t="shared" si="0"/>
        <v>11.704918032786885</v>
      </c>
      <c r="S25" s="89">
        <v>100000</v>
      </c>
      <c r="T25" s="89">
        <v>82000</v>
      </c>
      <c r="U25" s="89">
        <f t="shared" si="1"/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2"/>
        <v>35112.150552894083</v>
      </c>
      <c r="AE25" s="25"/>
      <c r="AF25" s="26"/>
    </row>
    <row r="26" spans="1:32" x14ac:dyDescent="0.25">
      <c r="A26" s="16" t="s">
        <v>1000</v>
      </c>
      <c r="B26" s="14">
        <f t="shared" si="3"/>
        <v>92728.76641408907</v>
      </c>
      <c r="C26" s="14">
        <f t="shared" si="4"/>
        <v>94022.117311982496</v>
      </c>
      <c r="D26" s="14">
        <f t="shared" si="5"/>
        <v>95664.223444770425</v>
      </c>
      <c r="E26" s="14">
        <f t="shared" si="6"/>
        <v>97335.032218824781</v>
      </c>
      <c r="F26" s="14">
        <f t="shared" si="7"/>
        <v>99035.0457357962</v>
      </c>
      <c r="G26" s="14">
        <f t="shared" si="8"/>
        <v>100764.77488781617</v>
      </c>
      <c r="H26" s="14">
        <f t="shared" si="9"/>
        <v>102524.73951145436</v>
      </c>
      <c r="I26" s="14">
        <f t="shared" si="10"/>
        <v>104315.46854444291</v>
      </c>
      <c r="J26" s="14">
        <f t="shared" si="11"/>
        <v>106137.50018520899</v>
      </c>
      <c r="K26" s="14">
        <f t="shared" si="12"/>
        <v>107991.38205503971</v>
      </c>
      <c r="L26" s="14">
        <f t="shared" si="13"/>
        <v>97335.032218824781</v>
      </c>
      <c r="M26" s="16" t="s">
        <v>1003</v>
      </c>
      <c r="N26" s="16">
        <f>1270-$AD$19</f>
        <v>1264</v>
      </c>
      <c r="O26" s="16">
        <v>20</v>
      </c>
      <c r="P26" s="16">
        <f>$AI$2</f>
        <v>0.78</v>
      </c>
      <c r="Q26" s="16">
        <v>6</v>
      </c>
      <c r="R26" s="16">
        <f t="shared" si="0"/>
        <v>41.442622950819676</v>
      </c>
      <c r="S26" s="14">
        <v>100000</v>
      </c>
      <c r="T26" s="14">
        <v>100000</v>
      </c>
      <c r="U26" s="14">
        <f t="shared" si="1"/>
        <v>194522.24147309843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2"/>
        <v>36923.317237754032</v>
      </c>
      <c r="AE26" s="25"/>
      <c r="AF26" s="26"/>
    </row>
    <row r="27" spans="1:32" x14ac:dyDescent="0.25">
      <c r="A27" s="20" t="s">
        <v>1004</v>
      </c>
      <c r="B27" s="43">
        <f t="shared" si="3"/>
        <v>99733.398135512631</v>
      </c>
      <c r="C27" s="43">
        <f t="shared" si="4"/>
        <v>100114.47662149934</v>
      </c>
      <c r="D27" s="43">
        <f t="shared" si="5"/>
        <v>100592.87891936263</v>
      </c>
      <c r="E27" s="43">
        <f t="shared" si="6"/>
        <v>101073.57388843624</v>
      </c>
      <c r="F27" s="43">
        <f t="shared" si="7"/>
        <v>101556.57254763304</v>
      </c>
      <c r="G27" s="43">
        <f t="shared" si="8"/>
        <v>102041.88596898067</v>
      </c>
      <c r="H27" s="43">
        <f t="shared" si="9"/>
        <v>102529.52527787229</v>
      </c>
      <c r="I27" s="43">
        <f t="shared" si="10"/>
        <v>103019.50165332621</v>
      </c>
      <c r="J27" s="43">
        <f t="shared" si="11"/>
        <v>103511.8263282433</v>
      </c>
      <c r="K27" s="43">
        <f t="shared" si="12"/>
        <v>104006.5105896819</v>
      </c>
      <c r="L27" s="43">
        <f t="shared" si="13"/>
        <v>101073.57388843624</v>
      </c>
      <c r="M27" s="20" t="s">
        <v>1005</v>
      </c>
      <c r="N27" s="20">
        <f>354-$AD$19</f>
        <v>348</v>
      </c>
      <c r="O27" s="20">
        <v>22</v>
      </c>
      <c r="P27" s="20">
        <f>AI1</f>
        <v>0.88</v>
      </c>
      <c r="Q27" s="20">
        <v>3</v>
      </c>
      <c r="R27" s="20">
        <f t="shared" si="0"/>
        <v>11.409836065573771</v>
      </c>
      <c r="S27" s="43">
        <v>100000</v>
      </c>
      <c r="T27" s="43">
        <v>103000</v>
      </c>
      <c r="U27" s="3">
        <f t="shared" si="1"/>
        <v>122299.59056432718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2"/>
        <v>38766.783061827315</v>
      </c>
      <c r="AE27" s="25"/>
      <c r="AF27" s="26"/>
    </row>
    <row r="28" spans="1:32" x14ac:dyDescent="0.25">
      <c r="A28" s="16" t="s">
        <v>1030</v>
      </c>
      <c r="B28" s="14">
        <f t="shared" si="3"/>
        <v>99160.805949787304</v>
      </c>
      <c r="C28" s="14">
        <f t="shared" si="4"/>
        <v>100000</v>
      </c>
      <c r="D28" s="14">
        <f t="shared" si="5"/>
        <v>101059.00000136445</v>
      </c>
      <c r="E28" s="14">
        <f t="shared" si="6"/>
        <v>102129.22955088875</v>
      </c>
      <c r="F28" s="14">
        <f t="shared" si="7"/>
        <v>103210.80788207005</v>
      </c>
      <c r="G28" s="14">
        <f t="shared" si="8"/>
        <v>104303.85549602375</v>
      </c>
      <c r="H28" s="14">
        <f t="shared" si="9"/>
        <v>105408.49417508434</v>
      </c>
      <c r="I28" s="14">
        <f t="shared" si="10"/>
        <v>106524.84699632994</v>
      </c>
      <c r="J28" s="14">
        <f t="shared" si="11"/>
        <v>107653.03834544179</v>
      </c>
      <c r="K28" s="14">
        <f t="shared" si="12"/>
        <v>108793.19393059339</v>
      </c>
      <c r="L28" s="14">
        <f t="shared" si="13"/>
        <v>102129.22955088875</v>
      </c>
      <c r="M28" s="16" t="s">
        <v>1031</v>
      </c>
      <c r="N28" s="16">
        <f>775-$AD$19</f>
        <v>769</v>
      </c>
      <c r="O28" s="16">
        <v>21</v>
      </c>
      <c r="P28" s="16">
        <v>0</v>
      </c>
      <c r="Q28" s="16">
        <v>1</v>
      </c>
      <c r="R28" s="16">
        <f t="shared" si="0"/>
        <v>25.21311475409836</v>
      </c>
      <c r="S28" s="14">
        <v>100000</v>
      </c>
      <c r="T28" s="14">
        <v>104000</v>
      </c>
      <c r="U28" s="14">
        <f t="shared" si="1"/>
        <v>155629.23323581112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2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20" t="s">
        <v>1086</v>
      </c>
      <c r="B29" s="43">
        <f t="shared" si="3"/>
        <v>82859.171021028757</v>
      </c>
      <c r="C29" s="43">
        <f t="shared" si="4"/>
        <v>84070.942760731239</v>
      </c>
      <c r="D29" s="43">
        <f t="shared" si="5"/>
        <v>85610.627768826671</v>
      </c>
      <c r="E29" s="43">
        <f t="shared" si="6"/>
        <v>87178.532417864801</v>
      </c>
      <c r="F29" s="43">
        <f t="shared" si="7"/>
        <v>88775.174320043006</v>
      </c>
      <c r="G29" s="43">
        <f t="shared" si="8"/>
        <v>90401.080589036414</v>
      </c>
      <c r="H29" s="43">
        <f t="shared" si="9"/>
        <v>92056.788014414997</v>
      </c>
      <c r="I29" s="43">
        <f t="shared" si="10"/>
        <v>93742.843239669834</v>
      </c>
      <c r="J29" s="43">
        <f t="shared" si="11"/>
        <v>95459.802942946888</v>
      </c>
      <c r="K29" s="43">
        <f t="shared" si="12"/>
        <v>97208.234021636817</v>
      </c>
      <c r="L29" s="43">
        <f t="shared" si="13"/>
        <v>87178.532417864801</v>
      </c>
      <c r="M29" s="20" t="s">
        <v>1087</v>
      </c>
      <c r="N29" s="20">
        <f>1331-$AD$19</f>
        <v>1325</v>
      </c>
      <c r="O29" s="20">
        <v>17</v>
      </c>
      <c r="P29" s="20">
        <f>AI2</f>
        <v>0.78</v>
      </c>
      <c r="Q29" s="20">
        <v>6</v>
      </c>
      <c r="R29" s="20">
        <f t="shared" si="0"/>
        <v>43.442622950819676</v>
      </c>
      <c r="S29" s="43">
        <v>100000</v>
      </c>
      <c r="T29" s="43"/>
      <c r="U29" s="3">
        <f t="shared" si="1"/>
        <v>180145.36389326531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2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2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2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2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2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2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2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2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2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2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2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2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2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2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2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2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2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2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2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2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2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1100</v>
      </c>
    </row>
    <row r="2" spans="1:1" x14ac:dyDescent="0.25">
      <c r="A2" t="s">
        <v>1101</v>
      </c>
    </row>
    <row r="3" spans="1:1" x14ac:dyDescent="0.25">
      <c r="A3" t="s">
        <v>1102</v>
      </c>
    </row>
    <row r="4" spans="1:1" x14ac:dyDescent="0.25">
      <c r="A4" t="s">
        <v>1103</v>
      </c>
    </row>
    <row r="5" spans="1:1" x14ac:dyDescent="0.25">
      <c r="A5" t="s">
        <v>1104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1080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1057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1076</v>
      </c>
      <c r="B61" s="3">
        <v>4172</v>
      </c>
      <c r="C61" s="11" t="s">
        <v>1078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1082</v>
      </c>
      <c r="B62" s="3">
        <v>-161000</v>
      </c>
      <c r="C62" s="11" t="s">
        <v>1090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1096</v>
      </c>
      <c r="B63" s="3">
        <v>-149505</v>
      </c>
      <c r="C63" s="11" t="s">
        <v>1097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1058</v>
      </c>
    </row>
    <row r="187" spans="1:7" x14ac:dyDescent="0.25">
      <c r="A187" s="11" t="s">
        <v>1057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1058</v>
      </c>
    </row>
    <row r="188" spans="1:7" x14ac:dyDescent="0.25">
      <c r="A188" s="11" t="s">
        <v>1057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1069</v>
      </c>
    </row>
    <row r="189" spans="1:7" x14ac:dyDescent="0.25">
      <c r="A189" s="11" t="s">
        <v>1068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1069</v>
      </c>
    </row>
    <row r="190" spans="1:7" x14ac:dyDescent="0.25">
      <c r="A190" s="11" t="s">
        <v>1068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1058</v>
      </c>
    </row>
    <row r="191" spans="1:7" x14ac:dyDescent="0.25">
      <c r="A191" s="11" t="s">
        <v>1076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1078</v>
      </c>
    </row>
    <row r="192" spans="1:7" x14ac:dyDescent="0.25">
      <c r="A192" s="11" t="s">
        <v>1105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1106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selection activeCell="G24" sqref="G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1107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1051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91646141.25</v>
      </c>
      <c r="G15" s="29">
        <f t="shared" si="0"/>
        <v>1353858.75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فروش'!X32</f>
        <v>184423847.25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1048</v>
      </c>
      <c r="L24" s="43">
        <f>-'لیست خرید و فروش'!Z15</f>
        <v>-93896004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1049</v>
      </c>
      <c r="N25" s="29">
        <f>-L24</f>
        <v>93896004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91646141.25</v>
      </c>
      <c r="M27" s="11"/>
      <c r="N27" s="29">
        <f>SUM(N16:N25)</f>
        <v>154332204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148646141.25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1081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1076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2018-03-25T23:57:50Z</dcterms:modified>
</cp:coreProperties>
</file>