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19" i="18" l="1"/>
  <c r="AT69" i="18"/>
  <c r="AT70" i="18"/>
  <c r="AT71" i="18"/>
  <c r="AT72" i="18"/>
  <c r="AT73" i="18"/>
  <c r="AT74" i="18"/>
  <c r="AT75" i="18"/>
  <c r="AT76" i="18"/>
  <c r="AT77" i="18"/>
  <c r="AT78" i="18"/>
  <c r="AT79" i="18"/>
  <c r="AT80" i="18"/>
  <c r="B27" i="46"/>
  <c r="D74" i="46"/>
  <c r="AU47" i="18" l="1"/>
  <c r="AU48" i="18" s="1"/>
  <c r="AT66" i="18" l="1"/>
  <c r="AT67" i="18"/>
  <c r="AT68" i="18"/>
  <c r="AT64" i="18"/>
  <c r="AS65" i="18"/>
  <c r="AT65" i="18" s="1"/>
  <c r="AW48" i="18"/>
  <c r="AX48" i="18" s="1"/>
  <c r="P46" i="18"/>
  <c r="N46" i="18" s="1"/>
  <c r="P45" i="18"/>
  <c r="N45" i="18" s="1"/>
  <c r="P42" i="18"/>
  <c r="N34" i="18"/>
  <c r="N20" i="18"/>
  <c r="AT81" i="18" l="1"/>
  <c r="Y44" i="18" l="1"/>
  <c r="AH74" i="18"/>
  <c r="AR81" i="18"/>
  <c r="AQ81" i="18"/>
  <c r="AV79" i="18"/>
  <c r="AX80" i="18"/>
  <c r="AV78" i="18" l="1"/>
  <c r="AY79" i="18"/>
  <c r="AS81" i="18"/>
  <c r="AX79" i="18"/>
  <c r="AW79" i="18"/>
  <c r="AR56" i="18"/>
  <c r="AW47" i="18"/>
  <c r="AX47" i="18" s="1"/>
  <c r="AW46" i="18"/>
  <c r="AX46" i="18" s="1"/>
  <c r="N31" i="18"/>
  <c r="N43" i="18"/>
  <c r="N42" i="18"/>
  <c r="U28" i="18"/>
  <c r="AV68" i="18" l="1"/>
  <c r="AY78" i="18"/>
  <c r="AW78" i="18"/>
  <c r="AX78" i="18"/>
  <c r="AQ42" i="18"/>
  <c r="AS34" i="18"/>
  <c r="AS33" i="18" s="1"/>
  <c r="AS32" i="18" s="1"/>
  <c r="AS31" i="18" s="1"/>
  <c r="AS30" i="18" s="1"/>
  <c r="AS29" i="18" s="1"/>
  <c r="AS28" i="18" s="1"/>
  <c r="AS27" i="18" s="1"/>
  <c r="AS26" i="18" s="1"/>
  <c r="AS25" i="18" s="1"/>
  <c r="AS24" i="18" s="1"/>
  <c r="AS23" i="18" s="1"/>
  <c r="AS22" i="18" s="1"/>
  <c r="AS21" i="18" s="1"/>
  <c r="AS20" i="18" s="1"/>
  <c r="AU20" i="18" s="1"/>
  <c r="AV67" i="18" l="1"/>
  <c r="AW68" i="18"/>
  <c r="AY68" i="18"/>
  <c r="AX68" i="18"/>
  <c r="AU27" i="18"/>
  <c r="AU26" i="18"/>
  <c r="AU25" i="18"/>
  <c r="AU31" i="18"/>
  <c r="AU29" i="18"/>
  <c r="AU21" i="18"/>
  <c r="AU32" i="18"/>
  <c r="AU24" i="18"/>
  <c r="AU23" i="18"/>
  <c r="AU30" i="18"/>
  <c r="AU22" i="18"/>
  <c r="AU28" i="18"/>
  <c r="N33" i="18"/>
  <c r="AB37" i="18"/>
  <c r="AV66" i="18" l="1"/>
  <c r="AW67" i="18"/>
  <c r="AY67" i="18"/>
  <c r="AX67" i="18"/>
  <c r="AU42" i="18"/>
  <c r="AV65" i="18" l="1"/>
  <c r="AW66" i="18"/>
  <c r="AX66" i="18"/>
  <c r="AY66" i="18"/>
  <c r="N32" i="18"/>
  <c r="AJ73" i="18"/>
  <c r="AJ72" i="18" s="1"/>
  <c r="AJ71" i="18" s="1"/>
  <c r="AJ70" i="18" s="1"/>
  <c r="AJ69" i="18" s="1"/>
  <c r="AX65" i="18" l="1"/>
  <c r="AV64" i="18"/>
  <c r="AY65" i="18"/>
  <c r="AW65" i="18"/>
  <c r="AJ68" i="18"/>
  <c r="AK69" i="18"/>
  <c r="AA40" i="18"/>
  <c r="AW64" i="18" l="1"/>
  <c r="AW81" i="18" s="1"/>
  <c r="AX64" i="18"/>
  <c r="AX81" i="18" s="1"/>
  <c r="AY64" i="18"/>
  <c r="AY81" i="18" s="1"/>
  <c r="AJ67" i="18"/>
  <c r="AK68" i="18"/>
  <c r="AC37" i="18"/>
  <c r="AD37" i="18" s="1"/>
  <c r="Y37" i="18"/>
  <c r="AA37" i="18" s="1"/>
  <c r="Y35" i="18"/>
  <c r="Y32" i="18"/>
  <c r="AA32" i="18" s="1"/>
  <c r="Y31" i="18"/>
  <c r="AA31" i="18" s="1"/>
  <c r="X43" i="18"/>
  <c r="Z35" i="18" l="1"/>
  <c r="Z39" i="18" s="1"/>
  <c r="AJ66" i="18"/>
  <c r="AK67" i="18"/>
  <c r="Q57" i="18"/>
  <c r="AJ65" i="18" l="1"/>
  <c r="AK66" i="18"/>
  <c r="Q54" i="18"/>
  <c r="AC15" i="33"/>
  <c r="AJ64" i="18" l="1"/>
  <c r="AK65" i="18"/>
  <c r="AK64" i="18" l="1"/>
  <c r="AJ63" i="18"/>
  <c r="L19" i="18"/>
  <c r="I26" i="46"/>
  <c r="H26" i="46"/>
  <c r="G26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S29" i="18"/>
  <c r="AK59" i="18" l="1"/>
  <c r="AJ58" i="18"/>
  <c r="S30" i="18"/>
  <c r="U29" i="18"/>
  <c r="E44" i="14"/>
  <c r="AJ57" i="18" l="1"/>
  <c r="AK58" i="18"/>
  <c r="U30" i="18"/>
  <c r="S31" i="18"/>
  <c r="S32" i="18" s="1"/>
  <c r="E43" i="14"/>
  <c r="U32" i="18" l="1"/>
  <c r="S33" i="18"/>
  <c r="AJ56" i="18"/>
  <c r="AK57" i="18"/>
  <c r="E42" i="14"/>
  <c r="G42" i="14" s="1"/>
  <c r="U31" i="18"/>
  <c r="S34" i="18" l="1"/>
  <c r="U33" i="18"/>
  <c r="AJ55" i="18"/>
  <c r="AK56" i="18"/>
  <c r="E41" i="14"/>
  <c r="G41" i="14" s="1"/>
  <c r="S35" i="18" l="1"/>
  <c r="U34" i="18"/>
  <c r="AK55" i="18"/>
  <c r="AJ54" i="18"/>
  <c r="E40" i="14"/>
  <c r="G40" i="14" s="1"/>
  <c r="N30" i="18"/>
  <c r="Z41" i="18" s="1"/>
  <c r="Q40" i="18" l="1"/>
  <c r="AJ53" i="18"/>
  <c r="AK54" i="18"/>
  <c r="E39" i="14"/>
  <c r="G39" i="14" s="1"/>
  <c r="K201" i="20"/>
  <c r="K202" i="20"/>
  <c r="K203" i="20"/>
  <c r="K204" i="20"/>
  <c r="K205" i="20"/>
  <c r="K206" i="20"/>
  <c r="J201" i="20"/>
  <c r="J202" i="20"/>
  <c r="J203" i="20"/>
  <c r="J204" i="20"/>
  <c r="J205" i="20"/>
  <c r="J206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200" i="20" l="1"/>
  <c r="K200" i="20"/>
  <c r="I200" i="20"/>
  <c r="K199" i="20"/>
  <c r="J199" i="20"/>
  <c r="I199" i="20"/>
  <c r="I198" i="20"/>
  <c r="J198" i="20"/>
  <c r="K198" i="20"/>
  <c r="K197" i="20"/>
  <c r="I197" i="20"/>
  <c r="J197" i="20"/>
  <c r="AJ52" i="18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J47" i="18" l="1"/>
  <c r="AK48" i="18"/>
  <c r="G2" i="46"/>
  <c r="G28" i="46" s="1"/>
  <c r="D2" i="46"/>
  <c r="H2" i="46"/>
  <c r="H28" i="46" s="1"/>
  <c r="C27" i="46"/>
  <c r="H30" i="45"/>
  <c r="E33" i="14"/>
  <c r="I2" i="45"/>
  <c r="I25" i="45" s="1"/>
  <c r="I30" i="45" s="1"/>
  <c r="H3" i="44"/>
  <c r="AJ46" i="18" l="1"/>
  <c r="AK47" i="18"/>
  <c r="I2" i="46"/>
  <c r="I28" i="46" s="1"/>
  <c r="I33" i="46" s="1"/>
  <c r="D27" i="46"/>
  <c r="H33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3" i="18" s="1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9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l="1"/>
  <c r="L49" i="18"/>
  <c r="E33" i="13"/>
  <c r="G34" i="13"/>
  <c r="I97" i="20"/>
  <c r="K97" i="20"/>
  <c r="J97" i="20"/>
  <c r="F108" i="15"/>
  <c r="C20" i="18"/>
  <c r="G20" i="14"/>
  <c r="G21" i="14"/>
  <c r="F20" i="18" l="1"/>
  <c r="L5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<sst xmlns="http://schemas.openxmlformats.org/spreadsheetml/2006/main" count="8961" uniqueCount="4271">
  <si>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</si>
  <si>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</si>
  <si>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</si>
  <si>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</si>
  <si>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</si>
  <si>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</si>
  <si>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</si>
  <si>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</si>
  <si>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</si>
  <si>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</si>
  <si>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</si>
  <si>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</si>
  <si>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</si>
  <si>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</si>
  <si>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</si>
  <si>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</si>
  <si>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</si>
  <si>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</si>
  <si>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</si>
  <si>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</si>
  <si>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</si>
  <si>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</si>
  <si>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</si>
  <si>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</si>
  <si>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</si>
  <si>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</si>
  <si>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</si>
  <si>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</si>
  <si>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</si>
  <si>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</si>
  <si>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</si>
  <si>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</si>
  <si>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</si>
  <si>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</si>
  <si>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</si>
  <si>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</si>
  <si>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</si>
  <si>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</si>
  <si>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</si>
  <si>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</si>
  <si>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</si>
  <si>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</si>
  <si>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</si>
  <si>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</si>
  <si>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</si>
  <si>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</si>
  <si>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</si>
  <si>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</si>
  <si>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</si>
  <si>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</si>
  <si>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</si>
  <si>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</si>
  <si>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</si>
  <si>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</si>
  <si>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</si>
  <si>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</si>
  <si>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</si>
  <si>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</si>
  <si>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</si>
  <si>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</si>
  <si>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</si>
  <si>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</si>
  <si>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</si>
  <si>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</si>
  <si>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</si>
  <si>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</si>
  <si>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</si>
  <si>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</si>
  <si>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</si>
  <si>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</si>
  <si>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</si>
  <si>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</si>
  <si>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</si>
  <si>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</si>
  <si>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</si>
  <si>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</si>
  <si>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</si>
  <si>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</si>
  <si>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</si>
  <si>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</si>
  <si>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</si>
  <si>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</si>
  <si>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</si>
  <si>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</si>
  <si>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</si>
  <si>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</si>
  <si>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</si>
  <si>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</si>
  <si>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</si>
  <si>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</si>
  <si>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</si>
  <si>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</si>
  <si>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</si>
  <si>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</si>
  <si>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</si>
  <si>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</si>
  <si>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</si>
  <si>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</si>
  <si>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</si>
  <si>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</si>
  <si>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</si>
  <si>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</si>
  <si>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</si>
  <si>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</si>
  <si>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</si>
  <si>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</si>
  <si>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</si>
  <si>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</si>
  <si>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</si>
  <si>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</si>
  <si>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</si>
  <si>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</si>
  <si>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</si>
  <si>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</si>
  <si>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</si>
  <si>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</si>
  <si>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</si>
  <si>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</si>
  <si>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</si>
  <si>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</si>
  <si>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</si>
  <si>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</si>
  <si>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</si>
  <si>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</si>
  <si>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</si>
  <si>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</si>
  <si>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</si>
  <si>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</si>
  <si>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</si>
  <si>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</si>
  <si>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</si>
  <si>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</si>
  <si>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</si>
  <si>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</si>
  <si>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</si>
  <si>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</si>
  <si>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</si>
  <si>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</si>
  <si>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</si>
  <si>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</si>
  <si>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</si>
  <si>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</si>
  <si>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</si>
  <si>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</si>
  <si>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</si>
  <si>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</si>
  <si>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</si>
  <si>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</si>
  <si>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</si>
  <si>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</si>
  <si>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</si>
  <si>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</si>
  <si>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</si>
  <si>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</si>
  <si>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</si>
  <si>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</si>
  <si>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</si>
  <si>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</si>
  <si>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</si>
  <si>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</si>
  <si>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</si>
  <si>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</si>
  <si>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</si>
  <si>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</si>
  <si>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</si>
  <si>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</si>
  <si>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</si>
  <si>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</si>
  <si>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</si>
  <si>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</si>
  <si>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</si>
  <si>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</si>
  <si>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</si>
  <si>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</si>
  <si>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</si>
  <si>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</si>
  <si>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</si>
  <si>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</si>
  <si>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</si>
  <si>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</si>
  <si>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</si>
  <si>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</si>
  <si>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</si>
  <si>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</si>
  <si>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</si>
  <si>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</si>
  <si>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</si>
  <si>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</si>
  <si>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</si>
  <si>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</si>
  <si>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</si>
  <si>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</si>
  <si>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</si>
  <si>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</si>
  <si>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</si>
  <si>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</si>
  <si>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</si>
  <si>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</si>
  <si>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</si>
  <si>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</si>
  <si>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</si>
  <si>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</si>
  <si>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</si>
  <si>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</si>
  <si>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</si>
  <si>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</si>
  <si>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</si>
  <si>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</si>
  <si>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</si>
  <si>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</si>
  <si>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</si>
  <si>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</si>
  <si>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</si>
  <si>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</si>
  <si>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</si>
  <si>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</si>
  <si>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</si>
  <si>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</si>
  <si>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</si>
  <si>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</si>
  <si>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</si>
  <si>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</si>
  <si>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</si>
  <si>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</si>
  <si>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</si>
  <si>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</si>
  <si>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</si>
  <si>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</si>
  <si>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</si>
  <si>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</si>
  <si>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</si>
  <si>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</si>
  <si>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</si>
  <si>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</si>
  <si>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</si>
  <si>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</si>
  <si>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</si>
  <si>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</si>
  <si>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</si>
  <si>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</si>
  <si>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</si>
  <si>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</si>
  <si>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</si>
  <si>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</si>
  <si>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</si>
  <si>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</si>
  <si>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</si>
  <si>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</si>
  <si>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</si>
  <si>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</si>
  <si>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</si>
  <si>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</si>
  <si>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</si>
  <si>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</si>
  <si>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</si>
  <si>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</si>
  <si>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</si>
  <si>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</si>
  <si>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</si>
  <si>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</si>
  <si>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</si>
  <si>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</si>
  <si>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</si>
  <si>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</si>
  <si>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</si>
  <si>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</si>
  <si>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</si>
  <si>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</si>
  <si>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</si>
  <si>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</si>
  <si>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</si>
  <si>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</si>
  <si>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</si>
  <si>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</si>
  <si>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</si>
  <si>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</si>
  <si>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</si>
  <si>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</si>
  <si>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</si>
  <si>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</si>
  <si>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</si>
  <si>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</si>
  <si>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</si>
  <si>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</si>
  <si>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</si>
  <si>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</si>
  <si>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</si>
  <si>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</si>
  <si>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</si>
  <si>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</si>
  <si>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</si>
  <si>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</si>
  <si>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</si>
  <si>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</si>
  <si>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</si>
  <si>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</si>
  <si>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</si>
  <si>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</si>
  <si>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</si>
  <si>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</si>
  <si>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</si>
  <si>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</si>
  <si>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</si>
  <si>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</si>
  <si>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</si>
  <si>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</si>
  <si>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</si>
  <si>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</si>
  <si>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</si>
  <si>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</si>
  <si>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</si>
  <si>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</si>
  <si>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</si>
  <si>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</si>
  <si>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</si>
  <si>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</si>
  <si>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</si>
  <si>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</si>
  <si>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</si>
  <si>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</si>
  <si>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</si>
  <si>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</si>
  <si>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</si>
  <si>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</si>
  <si>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</si>
  <si>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</si>
  <si>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</si>
  <si>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</si>
  <si>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</si>
  <si>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</si>
  <si>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</si>
  <si>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</si>
  <si>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</si>
  <si>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</si>
  <si>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</si>
  <si>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</si>
  <si>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</si>
  <si>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</si>
  <si>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</si>
  <si>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</si>
  <si>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</si>
  <si>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</si>
  <si>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</si>
  <si>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</si>
  <si>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</si>
  <si>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</si>
  <si>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</si>
  <si>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</si>
  <si>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</si>
  <si>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</si>
  <si>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</si>
  <si>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</si>
  <si>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</si>
  <si>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</si>
  <si>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</si>
  <si>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</si>
  <si>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</si>
  <si>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</si>
  <si>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</si>
  <si>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</si>
  <si>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</si>
  <si>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</si>
  <si>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</si>
  <si>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</si>
  <si>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</si>
  <si>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</si>
  <si>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</si>
  <si>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</si>
  <si>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</si>
  <si>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</si>
  <si>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</si>
  <si>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</si>
  <si>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</si>
  <si>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</si>
  <si>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</si>
  <si>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</si>
  <si>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</si>
  <si>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</si>
  <si>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</si>
  <si>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</si>
  <si>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</si>
  <si>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</si>
  <si>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</si>
  <si>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</si>
  <si>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</si>
  <si>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</si>
  <si>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</si>
  <si>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</si>
  <si>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</si>
  <si>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</si>
  <si>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</si>
  <si>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</si>
  <si>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</si>
  <si>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</si>
  <si>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</si>
  <si>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</si>
  <si>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</si>
  <si>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</si>
  <si>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</si>
  <si>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</si>
  <si>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</si>
  <si>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</si>
  <si>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</si>
  <si>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</si>
  <si>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</si>
  <si>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</si>
  <si>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</si>
  <si>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</si>
  <si>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</si>
  <si>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</si>
  <si>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</si>
  <si>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</si>
  <si>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</si>
  <si>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</si>
  <si>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</si>
  <si>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</si>
  <si>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</si>
  <si>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</si>
  <si>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</si>
  <si>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</si>
  <si>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</si>
  <si>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</si>
  <si>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</si>
  <si>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</si>
  <si>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</si>
  <si>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</si>
  <si>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</si>
  <si>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</si>
  <si>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</si>
  <si>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</si>
  <si>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</si>
  <si>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</si>
  <si>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</si>
  <si>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</si>
  <si>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</si>
  <si>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</si>
  <si>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</si>
  <si>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</si>
  <si>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</si>
  <si>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</si>
  <si>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</si>
  <si>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</si>
  <si>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</si>
  <si>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</si>
  <si>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</si>
  <si>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</si>
  <si>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</si>
  <si>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</si>
  <si>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</si>
  <si>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</si>
  <si>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</si>
  <si>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</si>
  <si>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</si>
  <si>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</si>
  <si>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</si>
  <si>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</si>
  <si>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</si>
  <si>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</si>
  <si>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</si>
  <si>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</si>
  <si>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</si>
  <si>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</si>
  <si>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</si>
  <si>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</si>
  <si>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</si>
  <si>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</si>
  <si>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</si>
  <si>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</si>
  <si>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</si>
  <si>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</si>
  <si>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</si>
  <si>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</si>
  <si>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</si>
  <si>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</si>
  <si>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</si>
  <si>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</si>
  <si>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</si>
  <si>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</si>
  <si>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</si>
  <si>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</si>
  <si>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</si>
  <si>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</si>
  <si>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</si>
  <si>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</si>
  <si>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</si>
  <si>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</si>
  <si>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</si>
  <si>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</si>
  <si>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</si>
  <si>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</si>
  <si>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</si>
  <si>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</si>
  <si>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</si>
  <si>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</si>
  <si>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</si>
  <si>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</si>
  <si>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</si>
  <si>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</si>
  <si>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</si>
  <si>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</si>
  <si>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</si>
  <si>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</si>
  <si>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</si>
  <si>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</si>
  <si>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</si>
  <si>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</si>
  <si>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</si>
  <si>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</si>
  <si>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</si>
  <si>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</si>
  <si>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</si>
  <si>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</si>
  <si>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</si>
  <si>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</si>
  <si>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</si>
  <si>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</si>
  <si>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</si>
  <si>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</si>
  <si>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</si>
  <si>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</si>
  <si>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</si>
  <si>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</si>
  <si>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</si>
  <si>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</si>
  <si>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</si>
  <si>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</si>
  <si>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</si>
  <si>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</si>
  <si>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</si>
  <si>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</si>
  <si>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</si>
  <si>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</si>
  <si>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</si>
  <si>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</si>
  <si>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</si>
  <si>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</si>
  <si>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</si>
  <si>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</si>
  <si>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</si>
  <si>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</si>
  <si>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</si>
  <si>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</si>
  <si>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</si>
  <si>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</si>
  <si>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</si>
  <si>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</si>
  <si>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</si>
  <si>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</si>
  <si>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</si>
  <si>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</si>
  <si>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</si>
  <si>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</si>
  <si>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</si>
  <si>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</si>
  <si>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</si>
  <si>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</si>
  <si>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</si>
  <si>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</si>
  <si>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</si>
  <si>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</si>
  <si>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</si>
  <si>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</si>
  <si>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</si>
  <si>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</si>
  <si>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</si>
  <si>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</si>
  <si>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</si>
  <si>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</si>
  <si>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</si>
  <si>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</si>
  <si>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</si>
  <si>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</si>
  <si>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</si>
  <si>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</si>
  <si>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</si>
  <si>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</si>
  <si>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</si>
  <si>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</si>
  <si>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</si>
  <si>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</si>
  <si>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</si>
  <si>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</si>
  <si>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</si>
  <si>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</si>
  <si>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</si>
  <si>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</si>
  <si>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</si>
  <si>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</si>
  <si>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</si>
  <si>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</si>
  <si>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</si>
  <si>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</si>
  <si>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</si>
  <si>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</si>
  <si>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</si>
  <si>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</si>
  <si>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</si>
  <si>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</si>
  <si>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</si>
  <si>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</si>
  <si>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</si>
  <si>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</si>
  <si>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</si>
  <si>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</si>
  <si>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</si>
  <si>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</si>
  <si>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</si>
  <si>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</si>
  <si>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</si>
  <si>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</si>
  <si>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</si>
  <si>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</si>
  <si>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</si>
  <si>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</si>
  <si>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</si>
  <si>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</si>
  <si>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</si>
  <si>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</si>
  <si>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</si>
  <si>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</si>
  <si>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</si>
  <si>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</si>
  <si>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</si>
  <si>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</si>
  <si>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</si>
  <si>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</si>
  <si>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</si>
  <si>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</si>
  <si>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</si>
  <si>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</si>
  <si>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</si>
  <si>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</si>
  <si>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</si>
  <si>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</si>
  <si>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</si>
  <si>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</si>
  <si>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</si>
  <si>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</si>
  <si>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</si>
  <si>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</si>
  <si>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</si>
  <si>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</si>
  <si>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</si>
  <si>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</si>
  <si>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</si>
  <si>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</si>
  <si>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</si>
  <si>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</si>
  <si>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</si>
  <si>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</si>
  <si>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</si>
  <si>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</si>
  <si>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</si>
  <si>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</si>
  <si>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</si>
  <si>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</si>
  <si>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</si>
  <si>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</si>
  <si>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</si>
  <si>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</si>
  <si>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</si>
  <si>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</si>
  <si>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</si>
  <si>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</si>
  <si>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</si>
  <si>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</si>
  <si>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</si>
  <si>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</si>
  <si>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</si>
  <si>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</si>
  <si>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</si>
  <si>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</si>
  <si>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</si>
  <si>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</si>
  <si>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</si>
  <si>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</si>
  <si>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</si>
  <si>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</si>
  <si>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</si>
  <si>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</si>
  <si>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</si>
  <si>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</si>
  <si>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</si>
  <si>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</si>
  <si>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</si>
  <si>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</si>
  <si>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</si>
  <si>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</si>
  <si>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</si>
  <si>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</si>
  <si>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</si>
  <si>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</si>
  <si>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</si>
  <si>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</si>
  <si>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</si>
  <si>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</si>
  <si>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</si>
  <si>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</si>
  <si>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</si>
  <si>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</si>
  <si>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</si>
  <si>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</si>
  <si>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</si>
  <si>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</si>
  <si>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</si>
  <si>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</si>
  <si>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</si>
  <si>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</si>
  <si>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</si>
  <si>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</si>
  <si>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</si>
  <si>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</si>
  <si>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</si>
  <si>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</si>
  <si>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</si>
  <si>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</si>
  <si>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</si>
  <si>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</si>
  <si>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</si>
  <si>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</si>
  <si>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</si>
  <si>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</si>
  <si>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</si>
  <si>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</si>
  <si>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</si>
  <si>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</si>
  <si>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</si>
  <si>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</si>
  <si>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</si>
  <si>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</si>
  <si>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</si>
  <si>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</si>
  <si>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</si>
  <si>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</si>
  <si>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</si>
  <si>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</si>
  <si>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</si>
  <si>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</si>
  <si>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</si>
  <si>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</si>
  <si>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</si>
  <si>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</si>
  <si>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</si>
  <si>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</si>
  <si>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</si>
  <si>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</si>
  <si>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</si>
  <si>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</si>
  <si>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</si>
  <si>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</si>
  <si>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</si>
  <si>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</si>
  <si>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</si>
  <si>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</si>
  <si>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</si>
  <si>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</si>
  <si>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</si>
  <si>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</si>
  <si>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</si>
  <si>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</si>
  <si>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</si>
  <si>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</si>
  <si>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</si>
  <si>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</si>
  <si>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</si>
  <si>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</si>
  <si>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</si>
  <si>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</si>
  <si>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</si>
  <si>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</si>
  <si>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</si>
  <si>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</si>
  <si>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</si>
  <si>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</si>
  <si>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</si>
  <si>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</si>
  <si>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</si>
  <si>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</si>
  <si>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</si>
  <si>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</si>
  <si>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</si>
  <si>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</si>
  <si>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</si>
  <si>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</si>
  <si>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</si>
  <si>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</si>
  <si>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</si>
  <si>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</si>
  <si>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</si>
  <si>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</si>
  <si>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</si>
  <si>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</si>
  <si>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</si>
  <si>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</si>
  <si>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</si>
  <si>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</si>
  <si>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</si>
  <si>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</si>
  <si>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</si>
  <si>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</si>
  <si>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</si>
  <si>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</si>
  <si>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</si>
  <si>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</si>
  <si>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</si>
  <si>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</si>
  <si>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</si>
  <si>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</si>
  <si>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</si>
  <si>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</si>
  <si>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</si>
  <si>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</si>
  <si>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</si>
  <si>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</si>
  <si>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</si>
  <si>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</si>
  <si>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</si>
  <si>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</si>
  <si>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</si>
  <si>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</si>
  <si>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</si>
  <si>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</si>
  <si>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</si>
  <si>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</si>
  <si>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</si>
  <si>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</si>
  <si>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</si>
  <si>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</si>
  <si>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</si>
  <si>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</si>
  <si>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</si>
  <si>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</si>
  <si>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</si>
  <si>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</si>
  <si>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</si>
  <si>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</si>
  <si>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</si>
  <si>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</si>
  <si>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</si>
  <si>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</si>
  <si>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</si>
  <si>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</si>
  <si>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</si>
  <si>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</si>
  <si>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</si>
  <si>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</si>
  <si>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</si>
  <si>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</si>
  <si>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</si>
  <si>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</si>
  <si>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</si>
  <si>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</si>
  <si>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</si>
  <si>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</si>
  <si>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</si>
  <si>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</si>
  <si>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</si>
  <si>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</si>
  <si>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</si>
  <si>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</si>
  <si>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</si>
  <si>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</si>
  <si>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</si>
  <si>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</si>
  <si>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</si>
  <si>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</si>
  <si>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</si>
  <si>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</si>
  <si>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</si>
  <si>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</si>
  <si>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</si>
  <si>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</si>
  <si>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</si>
  <si>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</si>
  <si>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</si>
  <si>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</si>
  <si>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</si>
  <si>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</si>
  <si>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</si>
  <si>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</si>
  <si>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</si>
  <si>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</si>
  <si>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</si>
  <si>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</si>
  <si>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</si>
  <si>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</si>
  <si>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</si>
  <si>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</si>
  <si>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</si>
  <si>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</si>
  <si>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</si>
  <si>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</si>
  <si>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</si>
  <si>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</si>
  <si>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</si>
  <si>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</si>
  <si>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</si>
  <si>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</si>
  <si>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</si>
  <si>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</si>
  <si>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</si>
  <si>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</si>
  <si>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</si>
  <si>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</si>
  <si>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</si>
  <si>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</si>
  <si>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</si>
  <si>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</si>
  <si>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</si>
  <si>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</si>
  <si>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</si>
  <si>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</si>
  <si>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</si>
  <si>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</si>
  <si>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</si>
  <si>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</si>
  <si>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</si>
  <si>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</si>
  <si>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</si>
  <si>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</si>
  <si>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</si>
  <si>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</si>
  <si>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</si>
  <si>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</si>
  <si>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</si>
  <si>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</si>
  <si>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</si>
  <si>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</si>
  <si>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</si>
  <si>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</si>
  <si>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</si>
  <si>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</si>
  <si>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</si>
  <si>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</si>
  <si>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</si>
  <si>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</si>
  <si>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</si>
  <si>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</si>
  <si>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</si>
  <si>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</si>
  <si>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</si>
  <si>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</si>
  <si>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</si>
  <si>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</si>
  <si>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</si>
  <si>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</si>
  <si>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</si>
  <si>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</si>
  <si>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</si>
  <si>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</si>
  <si>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</si>
  <si>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</si>
  <si>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</si>
  <si>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</si>
  <si>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</si>
  <si>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</si>
  <si>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</si>
  <si>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</si>
  <si>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</si>
  <si>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</si>
  <si>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</si>
  <si>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</si>
  <si>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</si>
  <si>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</si>
  <si>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</si>
  <si>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</si>
  <si>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</si>
  <si>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</si>
  <si>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</si>
  <si>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</si>
  <si>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</si>
  <si>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</si>
  <si>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</si>
  <si>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</si>
  <si>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</si>
  <si>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</si>
  <si>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</si>
  <si>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</si>
  <si>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</si>
  <si>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</si>
  <si>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</si>
  <si>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</si>
  <si>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</si>
  <si>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</si>
  <si>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</si>
  <si>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</si>
  <si>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</si>
  <si>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</si>
  <si>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</si>
  <si>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</si>
  <si>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</si>
  <si>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</si>
  <si>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</si>
  <si>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</si>
  <si>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</si>
  <si>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</si>
  <si>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</si>
  <si>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</si>
  <si>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</si>
  <si>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</si>
  <si>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</si>
  <si>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</si>
  <si>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</si>
  <si>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</si>
  <si>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</si>
  <si>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</si>
  <si>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</si>
  <si>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</si>
  <si>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</si>
  <si>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</si>
  <si>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</si>
  <si>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</si>
  <si>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</si>
  <si>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</si>
  <si>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</si>
  <si>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</si>
  <si>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</si>
  <si>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</si>
  <si>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</si>
  <si>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</si>
  <si>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</si>
  <si>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</si>
  <si>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</si>
  <si>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</si>
  <si>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</si>
  <si>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</si>
  <si>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</si>
  <si>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</si>
  <si>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</si>
  <si>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</si>
  <si>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</si>
  <si>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</si>
  <si>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</si>
  <si>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</si>
  <si>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</si>
  <si>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</si>
  <si>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</si>
  <si>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</si>
  <si>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</si>
  <si>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</si>
  <si>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</si>
  <si>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</si>
  <si>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</si>
  <si>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</si>
  <si>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</si>
  <si>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</si>
  <si>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</si>
  <si>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</si>
  <si>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</si>
  <si>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</si>
  <si>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</si>
  <si>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</si>
  <si>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</si>
  <si>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</si>
  <si>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</si>
  <si>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</si>
  <si>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</si>
  <si>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</si>
  <si>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</si>
  <si>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</si>
  <si>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</si>
  <si>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</si>
  <si>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</si>
  <si>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</si>
  <si>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</si>
  <si>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</si>
  <si>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</si>
  <si>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</si>
  <si>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</si>
  <si>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</si>
  <si>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</si>
  <si>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</si>
  <si>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</si>
  <si>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</si>
  <si>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</si>
  <si>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</si>
  <si>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</si>
  <si>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</si>
  <si>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</si>
  <si>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</si>
  <si>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</si>
  <si>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</si>
  <si>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</si>
  <si>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</si>
  <si>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</si>
  <si>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</si>
  <si>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</si>
  <si>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</si>
  <si>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</si>
  <si>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</si>
  <si>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</si>
  <si>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</si>
  <si>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</si>
  <si>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</si>
  <si>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</si>
  <si>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</si>
  <si>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</si>
  <si>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</si>
  <si>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</si>
  <si>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</si>
  <si>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</si>
  <si>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</si>
  <si>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</si>
  <si>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</si>
  <si>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</si>
  <si>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</si>
  <si>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</si>
  <si>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</si>
  <si>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</si>
  <si>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</si>
  <si>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</si>
  <si>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</si>
  <si>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</si>
  <si>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</si>
  <si>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</si>
  <si>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</si>
  <si>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</si>
  <si>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</si>
  <si>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</si>
  <si>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</si>
  <si>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</si>
  <si>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</si>
  <si>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</si>
  <si>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</si>
  <si>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</si>
  <si>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</si>
  <si>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</si>
  <si>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</si>
  <si>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</si>
  <si>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</si>
  <si>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</si>
  <si>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</si>
  <si>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</si>
  <si>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</si>
  <si>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</si>
  <si>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</si>
  <si>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</si>
  <si>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</si>
  <si>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</si>
  <si>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</si>
  <si>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</si>
  <si>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</si>
  <si>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</si>
  <si>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</si>
  <si>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</si>
  <si>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</si>
  <si>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</si>
  <si>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</si>
  <si>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</si>
  <si>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</si>
  <si>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</si>
  <si>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</si>
  <si>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</si>
  <si>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</si>
  <si>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</si>
  <si>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</si>
  <si>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</si>
  <si>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</si>
  <si>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</si>
  <si>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</si>
  <si>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</si>
  <si>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</si>
  <si>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</si>
  <si>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</si>
  <si>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</si>
  <si>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</si>
  <si>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</si>
  <si>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</si>
  <si>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</si>
  <si>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</si>
  <si>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</si>
  <si>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</si>
  <si>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</si>
  <si>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</si>
  <si>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</si>
  <si>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</si>
  <si>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</si>
  <si>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</si>
  <si>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</si>
  <si>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</si>
  <si>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</si>
  <si>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</si>
  <si>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</si>
  <si>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</si>
  <si>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</si>
  <si>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</si>
  <si>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</si>
  <si>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</si>
  <si>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</si>
  <si>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</si>
  <si>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</si>
  <si>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</si>
  <si>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</si>
  <si>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</si>
  <si>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</si>
  <si>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</si>
  <si>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</si>
  <si>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</si>
  <si>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</si>
  <si>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</si>
  <si>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</si>
  <si>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</si>
  <si>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</si>
  <si>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</si>
  <si>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</si>
  <si>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</si>
  <si>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</si>
  <si>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</si>
  <si>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</si>
  <si>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</si>
  <si>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</si>
  <si>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</si>
  <si>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</si>
  <si>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</si>
  <si>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</si>
  <si>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</si>
  <si>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</si>
  <si>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</si>
  <si>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</si>
  <si>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</si>
  <si>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</si>
  <si>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</si>
  <si>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</si>
  <si>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</si>
  <si>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</si>
  <si>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</si>
  <si>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</si>
  <si>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</si>
  <si>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</si>
  <si>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</si>
  <si>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</si>
  <si>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</si>
  <si>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</si>
  <si>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</si>
  <si>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</si>
  <si>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</si>
  <si>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</si>
  <si>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</si>
  <si>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</si>
  <si>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</si>
  <si>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</si>
  <si>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</si>
  <si>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</si>
  <si>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</si>
  <si>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</si>
  <si>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</si>
  <si>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</si>
  <si>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</si>
  <si>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</si>
  <si>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</si>
  <si>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</si>
  <si>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</si>
  <si>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</si>
  <si>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</si>
  <si>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</si>
  <si>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</si>
  <si>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</si>
  <si>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</si>
  <si>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</si>
  <si>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</si>
  <si>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</si>
  <si>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</si>
  <si>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</si>
  <si>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</si>
  <si>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</si>
  <si>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</si>
  <si>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</si>
  <si>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</si>
  <si>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</si>
  <si>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</si>
  <si>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</si>
  <si>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</si>
  <si>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</si>
  <si>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</si>
  <si>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</si>
  <si>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</si>
  <si>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</si>
  <si>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</si>
  <si>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</si>
  <si>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</si>
  <si>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</si>
  <si>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</si>
  <si>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</si>
  <si>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</si>
  <si>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</si>
  <si>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</si>
  <si>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</si>
  <si>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</si>
  <si>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</si>
  <si>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</si>
  <si>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</si>
  <si>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</si>
  <si>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</si>
  <si>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</si>
  <si>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</si>
  <si>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</si>
  <si>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</si>
  <si>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</si>
  <si>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</si>
  <si>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</si>
  <si>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</si>
  <si>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</si>
  <si>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</si>
  <si>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</si>
  <si>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</si>
  <si>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</si>
  <si>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</si>
  <si>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</si>
  <si>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</si>
  <si>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</si>
  <si>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</si>
  <si>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</si>
  <si>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</si>
  <si>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</si>
  <si>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</si>
  <si>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</si>
  <si>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</si>
  <si>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</si>
  <si>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</si>
  <si>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</si>
  <si>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</si>
  <si>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</si>
  <si>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</si>
  <si>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</si>
  <si>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</si>
  <si>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</si>
  <si>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</si>
  <si>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</si>
  <si>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</si>
  <si>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</si>
  <si>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</si>
  <si>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</si>
  <si>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</si>
  <si>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</si>
  <si>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</si>
  <si>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</si>
  <si>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</si>
  <si>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</si>
  <si>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</si>
  <si>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</si>
  <si>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</si>
  <si>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</si>
  <si>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</si>
  <si>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</si>
  <si>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</si>
  <si>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</si>
  <si>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</si>
  <si>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</si>
  <si>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</si>
  <si>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</si>
  <si>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</si>
  <si>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</si>
  <si>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</si>
  <si>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</si>
  <si>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</si>
  <si>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</si>
  <si>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</si>
  <si>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</si>
  <si>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</si>
  <si>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</si>
  <si>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</si>
  <si>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</si>
  <si>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</si>
  <si>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</si>
  <si>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</si>
  <si>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</si>
  <si>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</si>
  <si>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</si>
  <si>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</si>
  <si>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</si>
  <si>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</si>
  <si>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</si>
  <si>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</si>
  <si>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</si>
  <si>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</si>
  <si>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</si>
  <si>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</si>
  <si>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</si>
  <si>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</si>
  <si>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</si>
  <si>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</si>
  <si>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</si>
  <si>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</si>
  <si>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</si>
  <si>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</si>
  <si>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</si>
  <si>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</si>
  <si>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</si>
  <si>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</si>
  <si>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</si>
  <si>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</si>
  <si>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</si>
  <si>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</si>
  <si>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</si>
  <si>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</si>
  <si>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</si>
  <si>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</si>
  <si>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</si>
  <si>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</si>
  <si>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</si>
  <si>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</si>
  <si>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</si>
  <si>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</si>
  <si>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</si>
  <si>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</si>
  <si>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</si>
  <si>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</si>
  <si>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</si>
  <si>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</si>
  <si>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</si>
  <si>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</si>
  <si>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</si>
  <si>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</si>
  <si>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</si>
  <si>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</si>
  <si>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</si>
  <si>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</si>
  <si>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</si>
  <si>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</si>
  <si>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</si>
  <si>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</si>
  <si>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</si>
  <si>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</si>
  <si>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</si>
  <si>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</si>
  <si>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</si>
  <si>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</si>
  <si>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</si>
  <si>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</si>
  <si>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</si>
  <si>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</si>
  <si>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</si>
  <si>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</si>
  <si>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</si>
  <si>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</si>
  <si>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</si>
  <si>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</si>
  <si>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</si>
  <si>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</si>
  <si>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</si>
  <si>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</si>
  <si>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</si>
  <si>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</si>
  <si>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</si>
  <si>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</si>
  <si>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</si>
  <si>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</si>
  <si>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</si>
  <si>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</si>
  <si>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</si>
  <si>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</si>
  <si>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</si>
  <si>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</si>
  <si>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</si>
  <si>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</si>
  <si>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</si>
  <si>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</si>
  <si>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</si>
  <si>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</si>
  <si>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</si>
  <si>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</si>
  <si>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</si>
  <si>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</si>
  <si>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</si>
  <si>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</si>
  <si>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</si>
  <si>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</si>
  <si>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</si>
  <si>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</si>
  <si>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</si>
  <si>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</si>
  <si>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</si>
  <si>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</si>
  <si>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</si>
  <si>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</si>
  <si>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</si>
  <si>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</si>
  <si>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</si>
  <si>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</si>
  <si>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</si>
  <si>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</si>
  <si>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</si>
  <si>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</si>
  <si>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</si>
  <si>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</si>
  <si>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</si>
  <si>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</si>
  <si>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</si>
  <si>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</si>
  <si>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</si>
  <si>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</si>
  <si>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</si>
  <si>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</si>
  <si>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</si>
  <si>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</si>
  <si>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</si>
  <si>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</si>
  <si>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</si>
  <si>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</si>
  <si>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</si>
  <si>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</si>
  <si>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</si>
  <si>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</si>
  <si>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</si>
  <si>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</si>
  <si>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</si>
  <si>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</si>
  <si>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</si>
  <si>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</si>
  <si>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</si>
  <si>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</si>
  <si>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</si>
  <si>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</si>
  <si>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</si>
  <si>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</si>
  <si>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</si>
  <si>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</si>
  <si>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</si>
  <si>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</si>
  <si>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</si>
  <si>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</si>
  <si>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</si>
  <si>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</si>
  <si>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</si>
  <si>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</si>
  <si>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</si>
  <si>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</si>
  <si>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</si>
  <si>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</si>
  <si>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</si>
  <si>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</si>
  <si>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</si>
  <si>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</si>
  <si>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</si>
  <si>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</si>
  <si>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</si>
  <si>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</si>
  <si>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</si>
  <si>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</si>
  <si>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</si>
  <si>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</si>
  <si>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</si>
  <si>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</si>
  <si>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</si>
  <si>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</si>
  <si>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</si>
  <si>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</si>
  <si>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</si>
  <si>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</si>
  <si>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</si>
  <si>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</si>
  <si>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</si>
  <si>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</si>
  <si>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</si>
  <si>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</si>
  <si>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</si>
  <si>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</si>
  <si>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</si>
  <si>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</si>
  <si>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</si>
  <si>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</si>
  <si>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</si>
  <si>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</si>
  <si>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</si>
  <si>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</si>
  <si>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</si>
  <si>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</si>
  <si>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</si>
  <si>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</si>
  <si>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</si>
  <si>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</si>
  <si>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</si>
  <si>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</si>
  <si>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</si>
  <si>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</si>
  <si>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</si>
  <si>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</si>
  <si>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</si>
  <si>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</si>
  <si>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</si>
  <si>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</si>
  <si>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</si>
  <si>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</si>
  <si>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</si>
  <si>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</si>
  <si>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</si>
  <si>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</si>
  <si>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</si>
  <si>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</si>
  <si>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</si>
  <si>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</si>
  <si>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</si>
  <si>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</si>
  <si>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</si>
  <si>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</si>
  <si>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</si>
  <si>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</si>
  <si>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</si>
  <si>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</si>
  <si>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</si>
  <si>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</si>
  <si>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</si>
  <si>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</si>
  <si>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</si>
  <si>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</si>
  <si>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</si>
  <si>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</si>
  <si>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</si>
  <si>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</si>
  <si>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</si>
  <si>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</si>
  <si>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</si>
  <si>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</si>
  <si>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</si>
  <si>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</si>
  <si>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</si>
  <si>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</si>
  <si>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</si>
  <si>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</si>
  <si>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</si>
  <si>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</si>
  <si>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</si>
  <si>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</si>
  <si>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</si>
  <si>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</si>
  <si>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</si>
  <si>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</si>
  <si>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</si>
  <si>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</si>
  <si>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</si>
  <si>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</si>
  <si>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</si>
  <si>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</si>
  <si>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</si>
  <si>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</si>
  <si>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</si>
  <si>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</si>
  <si>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</si>
  <si>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</si>
  <si>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</si>
  <si>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</si>
  <si>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</si>
  <si>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</si>
  <si>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</si>
  <si>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</si>
  <si>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</si>
  <si>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</si>
  <si>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</si>
  <si>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</si>
  <si>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</si>
  <si>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</si>
  <si>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</si>
  <si>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</si>
  <si>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</si>
  <si>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</si>
  <si>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</si>
  <si>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</si>
  <si>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</si>
  <si>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</si>
  <si>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</si>
  <si>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</si>
  <si>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</si>
  <si>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</si>
  <si>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</si>
  <si>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</si>
  <si>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</si>
  <si>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</si>
  <si>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</si>
  <si>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</si>
  <si>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</si>
  <si>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</si>
  <si>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</si>
  <si>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</si>
  <si>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</si>
  <si>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</si>
  <si>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</si>
  <si>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</si>
  <si>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</si>
  <si>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</si>
  <si>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</si>
  <si>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</si>
  <si>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</si>
  <si>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</si>
  <si>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</si>
  <si>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</si>
  <si>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</si>
  <si>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</si>
  <si>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</si>
  <si>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</si>
  <si>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</si>
  <si>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</si>
  <si>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</si>
  <si>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</si>
  <si>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</si>
  <si>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</si>
  <si>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</si>
  <si>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</si>
  <si>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</si>
  <si>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</si>
  <si>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</si>
  <si>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</si>
  <si>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</si>
  <si>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</si>
  <si>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</si>
  <si>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</si>
  <si>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</si>
  <si>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</si>
  <si>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</si>
  <si>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</si>
  <si>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</si>
  <si>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</si>
  <si>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</si>
  <si>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</si>
  <si>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</si>
  <si>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</si>
  <si>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</si>
  <si>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</si>
  <si>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</si>
  <si>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</si>
  <si>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</si>
  <si>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</si>
  <si>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</si>
  <si>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</si>
  <si>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</si>
  <si>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</si>
  <si>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</si>
  <si>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</si>
  <si>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</si>
  <si>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</si>
  <si>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</si>
  <si>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</si>
  <si>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</si>
  <si>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</si>
  <si>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</si>
  <si>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</si>
  <si>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</si>
  <si>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</si>
  <si>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</si>
  <si>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</si>
  <si>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</si>
  <si>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</si>
  <si>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</si>
  <si>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</si>
  <si>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</si>
  <si>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</si>
  <si>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</si>
  <si>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</si>
  <si>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</si>
  <si>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</si>
  <si>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</si>
  <si>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</si>
  <si>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</si>
  <si>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</si>
  <si>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</si>
  <si>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</si>
  <si>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</si>
  <si>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</si>
  <si>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</si>
  <si>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</si>
  <si>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</si>
  <si>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</si>
  <si>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</si>
  <si>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</si>
  <si>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</si>
  <si>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</si>
  <si>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</si>
  <si>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</si>
  <si>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</si>
  <si>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</si>
  <si>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</si>
  <si>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</si>
  <si>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</si>
  <si>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</si>
  <si>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</si>
  <si>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</si>
  <si>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</si>
  <si>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</si>
  <si>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</si>
  <si>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</si>
  <si>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</si>
  <si>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</si>
  <si>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</si>
  <si>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</si>
  <si>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</si>
  <si>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</si>
  <si>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</si>
  <si>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</si>
  <si>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</si>
  <si>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</si>
  <si>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</si>
  <si>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</si>
  <si>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</si>
  <si>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</si>
  <si>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</si>
  <si>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</si>
  <si>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</si>
  <si>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</si>
  <si>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</si>
  <si>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</si>
  <si>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</si>
  <si>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</si>
  <si>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</si>
  <si>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</si>
  <si>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</si>
  <si>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</si>
  <si>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</si>
  <si>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</si>
  <si>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</si>
  <si>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</si>
  <si>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</si>
  <si>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</si>
  <si>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</si>
  <si>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</si>
  <si>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</si>
  <si>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</si>
  <si>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</si>
  <si>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</si>
  <si>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</si>
  <si>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</si>
  <si>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</si>
  <si>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</si>
  <si>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</si>
  <si>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</si>
  <si>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</si>
  <si>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</si>
  <si>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</si>
  <si>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</si>
  <si>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</si>
  <si>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</si>
  <si>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</si>
  <si>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</si>
  <si>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</si>
  <si>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</si>
  <si>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</si>
  <si>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</si>
  <si>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</si>
  <si>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</si>
  <si>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</si>
  <si>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</si>
  <si>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</si>
  <si>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</si>
  <si>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</si>
  <si>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</si>
  <si>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</si>
  <si>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</si>
  <si>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</si>
  <si>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</si>
  <si>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</si>
  <si>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</si>
  <si>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</si>
  <si>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</si>
  <si>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</si>
  <si>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</si>
  <si>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</si>
  <si>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</si>
  <si>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</si>
  <si>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</si>
  <si>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</si>
  <si>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</si>
  <si>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</si>
  <si>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</si>
  <si>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</si>
  <si>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</si>
  <si>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</si>
  <si>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</si>
  <si>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</si>
  <si>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</si>
  <si>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</si>
  <si>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</si>
  <si>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</si>
  <si>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</si>
  <si>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</si>
  <si>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</si>
  <si>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</si>
  <si>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</si>
  <si>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</si>
  <si>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</si>
  <si>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</si>
  <si>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</si>
  <si>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</si>
  <si>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</si>
  <si>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</si>
  <si>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</si>
  <si>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</si>
  <si>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</si>
  <si>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</si>
  <si>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</si>
  <si>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</si>
  <si>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</si>
  <si>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</si>
  <si>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</si>
  <si>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</si>
  <si>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</si>
  <si>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</si>
  <si>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</si>
  <si>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</si>
  <si>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</si>
  <si>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</si>
  <si>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</si>
  <si>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</si>
  <si>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</si>
  <si>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</si>
  <si>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</si>
  <si>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</si>
  <si>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</si>
  <si>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</si>
  <si>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</si>
  <si>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</si>
  <si>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</si>
  <si>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</si>
  <si>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</si>
  <si>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</si>
  <si>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</si>
  <si>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</si>
  <si>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</si>
  <si>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</si>
  <si>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</si>
  <si>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</si>
  <si>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</si>
  <si>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</si>
  <si>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</si>
  <si>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</si>
  <si>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</si>
  <si>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</si>
  <si>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</si>
  <si>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</si>
  <si>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</si>
  <si>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</si>
  <si>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</si>
  <si>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</si>
  <si>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</si>
  <si>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</si>
  <si>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</si>
  <si>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</si>
  <si>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</si>
  <si>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</si>
  <si>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</si>
  <si>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</si>
  <si>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</si>
  <si>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</si>
  <si>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</si>
  <si>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</si>
  <si>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</si>
  <si>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</si>
  <si>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</si>
  <si>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</si>
  <si>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</si>
  <si>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</si>
  <si>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</si>
  <si>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</si>
  <si>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</si>
  <si>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</si>
  <si>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</si>
  <si>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</si>
  <si>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</si>
  <si>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</si>
  <si>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</si>
  <si>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</si>
  <si>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</si>
  <si>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</si>
  <si>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</si>
  <si>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</si>
  <si>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</si>
  <si>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</si>
  <si>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</si>
  <si>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</si>
  <si>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</si>
  <si>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</si>
  <si>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</si>
  <si>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</si>
  <si>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</si>
  <si>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</si>
  <si>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</si>
  <si>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</si>
  <si>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</si>
  <si>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</si>
  <si>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</si>
  <si>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</si>
  <si>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</si>
  <si>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</si>
  <si>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</si>
  <si>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</si>
  <si>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</si>
  <si>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</si>
  <si>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</si>
  <si>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</si>
  <si>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</si>
  <si>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</si>
  <si>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</si>
  <si>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</si>
  <si>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</si>
  <si>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</si>
  <si>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</si>
  <si>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</si>
  <si>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</si>
  <si>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</si>
  <si>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</si>
  <si>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</si>
  <si>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</si>
  <si>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</si>
  <si>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</si>
  <si>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</si>
  <si>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</si>
  <si>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</si>
  <si>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</si>
  <si>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</si>
  <si>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</si>
  <si>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</si>
  <si>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</si>
  <si>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</si>
  <si>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</si>
  <si>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</si>
  <si>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</si>
  <si>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</si>
  <si>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</si>
  <si>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</si>
  <si>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</si>
  <si>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</si>
  <si>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</si>
  <si>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</si>
  <si>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</si>
  <si>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</si>
  <si>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</si>
  <si>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</si>
  <si>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</si>
  <si>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</si>
  <si>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</si>
  <si>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</si>
  <si>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</si>
  <si>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</si>
  <si>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</si>
  <si>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</si>
  <si>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</si>
  <si>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</si>
  <si>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</si>
  <si>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</si>
  <si>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</si>
  <si>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</si>
  <si>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</si>
  <si>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</si>
  <si>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</si>
  <si>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</si>
  <si>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</si>
  <si>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</si>
  <si>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</si>
  <si>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</si>
  <si>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</si>
  <si>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</si>
  <si>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</si>
  <si>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</si>
  <si>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</si>
  <si>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</si>
  <si>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</si>
  <si>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</si>
  <si>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</si>
  <si>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</si>
  <si>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</si>
  <si>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</si>
  <si>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</si>
  <si>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</si>
  <si>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</si>
  <si>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</si>
  <si>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</si>
  <si>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</si>
  <si>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</si>
  <si>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</si>
  <si>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</si>
  <si>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</si>
  <si>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</si>
  <si>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</si>
  <si>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</si>
  <si>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</si>
  <si>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</si>
  <si>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</si>
  <si>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</si>
  <si>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</si>
  <si>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</si>
  <si>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</si>
  <si>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</si>
  <si>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</si>
  <si>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</si>
  <si>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</si>
  <si>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</si>
  <si>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</si>
  <si>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</si>
  <si>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</si>
  <si>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</si>
  <si>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</si>
  <si>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</si>
  <si>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</si>
  <si>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</si>
  <si>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</si>
  <si>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</si>
  <si>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</si>
  <si>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</si>
  <si>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</si>
  <si>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</si>
  <si>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</si>
  <si>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</si>
  <si>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</si>
  <si>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</si>
  <si>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</si>
  <si>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</si>
  <si>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</si>
  <si>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</si>
  <si>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</si>
  <si>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</si>
  <si>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</si>
  <si>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</si>
  <si>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</si>
  <si>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</si>
  <si>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</si>
  <si>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</si>
  <si>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</si>
  <si>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</si>
  <si>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</si>
  <si>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</si>
  <si>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</si>
  <si>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</si>
  <si>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</si>
  <si>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</si>
  <si>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</si>
  <si>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</si>
  <si>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</si>
  <si>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</si>
  <si>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</si>
  <si>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</si>
  <si>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</si>
  <si>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</si>
  <si>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</si>
  <si>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</si>
  <si>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</si>
  <si>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</si>
  <si>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</si>
  <si>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</si>
  <si>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</si>
  <si>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</si>
  <si>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</si>
  <si>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</si>
  <si>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</si>
  <si>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</si>
  <si>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</si>
  <si>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</si>
  <si>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</si>
  <si>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</si>
  <si>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</si>
  <si>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</si>
  <si>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</si>
  <si>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</si>
  <si>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</si>
  <si>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</si>
  <si>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</si>
  <si>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</si>
  <si>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</si>
  <si>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</si>
  <si>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</si>
  <si>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</si>
  <si>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</si>
  <si>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</si>
  <si>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</si>
  <si>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</si>
  <si>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</si>
  <si>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</si>
  <si>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</si>
  <si>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</si>
  <si>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</si>
  <si>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</si>
  <si>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</si>
  <si>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</si>
  <si>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</si>
  <si>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</si>
  <si>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</si>
  <si>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</si>
  <si>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</si>
  <si>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</si>
  <si>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</si>
  <si>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</si>
  <si>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</si>
  <si>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</si>
  <si>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</si>
  <si>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</si>
  <si>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</si>
  <si>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</si>
  <si>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</si>
  <si>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</si>
  <si>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</si>
  <si>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</si>
  <si>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</si>
  <si>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</si>
  <si>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</si>
  <si>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</si>
  <si>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</si>
  <si>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</si>
  <si>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</si>
  <si>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</si>
  <si>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</si>
  <si>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</si>
  <si>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</si>
  <si>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</si>
  <si>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</si>
  <si>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</si>
  <si>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</si>
  <si>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</si>
  <si>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</si>
  <si>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</si>
  <si>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</si>
  <si>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</si>
  <si>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</si>
  <si>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</si>
  <si>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</si>
  <si>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</si>
  <si>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</si>
  <si>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</si>
  <si>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</si>
  <si>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</si>
  <si>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</si>
  <si>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</si>
  <si>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</si>
  <si>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</si>
  <si>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</si>
  <si>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</si>
  <si>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</si>
  <si>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</si>
  <si>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</si>
  <si>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</si>
  <si>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</si>
  <si>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</si>
  <si>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</si>
  <si>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</si>
  <si>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</si>
  <si>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</si>
  <si>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</si>
  <si>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</si>
  <si>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</si>
  <si>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</si>
  <si>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</si>
  <si>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</si>
  <si>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</si>
  <si>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</si>
  <si>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</si>
  <si>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</si>
  <si>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</si>
  <si>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</si>
  <si>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</si>
  <si>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</si>
  <si>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</si>
  <si>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</si>
  <si>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</si>
  <si>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</si>
  <si>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</si>
  <si>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</si>
  <si>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</si>
  <si>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</si>
  <si>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</si>
  <si>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</si>
  <si>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</si>
  <si>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</si>
  <si>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</si>
  <si>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</si>
  <si>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</si>
  <si>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</si>
  <si>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</si>
  <si>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</si>
  <si>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</si>
  <si>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</si>
  <si>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</si>
  <si>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</si>
  <si>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</si>
  <si>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</si>
  <si>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</si>
  <si>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</si>
  <si>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</si>
  <si>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</si>
  <si>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</si>
  <si>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</si>
  <si>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</si>
  <si>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</si>
  <si>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</si>
  <si>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</si>
  <si>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</si>
  <si>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</si>
  <si>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</si>
  <si>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</si>
  <si>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</si>
  <si>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</si>
  <si>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</si>
  <si>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</si>
  <si>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</si>
  <si>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</si>
  <si>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</si>
  <si>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</si>
  <si>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</si>
  <si>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</si>
  <si>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</si>
  <si>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</si>
  <si>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</si>
  <si>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</si>
  <si>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</si>
  <si>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</si>
  <si>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</si>
  <si>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</si>
  <si>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</si>
  <si>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</si>
  <si>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</si>
  <si>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</si>
  <si>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</si>
  <si>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</si>
  <si>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</si>
  <si>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</si>
  <si>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</si>
  <si>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</si>
  <si>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</si>
  <si>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</si>
  <si>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</si>
  <si>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</si>
  <si>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</si>
  <si>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</si>
  <si>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</si>
  <si>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</si>
  <si>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</si>
  <si>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</si>
  <si>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</si>
  <si>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</si>
  <si>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</si>
  <si>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</si>
  <si>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</si>
  <si>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</si>
  <si>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</si>
  <si>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</si>
  <si>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</si>
  <si>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</si>
  <si>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</si>
  <si>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</si>
  <si>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</si>
  <si>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</si>
  <si>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</si>
  <si>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</si>
  <si>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</si>
  <si>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</si>
  <si>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</si>
  <si>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</si>
  <si>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</si>
  <si>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</si>
  <si>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</si>
  <si>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</si>
  <si>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</si>
  <si>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</si>
  <si>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</si>
  <si>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</si>
  <si>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</si>
  <si>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</si>
  <si>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</si>
  <si>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</si>
  <si>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</si>
  <si>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</si>
  <si>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</si>
  <si>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</si>
  <si>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</si>
  <si>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</si>
  <si>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</si>
  <si>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</si>
  <si>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</si>
  <si>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</si>
  <si>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</si>
  <si>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</si>
  <si>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</si>
  <si>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</si>
  <si>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</si>
  <si>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</si>
  <si>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</si>
  <si>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</si>
  <si>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</si>
  <si>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</si>
  <si>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</si>
  <si>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</si>
  <si>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</si>
  <si>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</si>
  <si>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</si>
  <si>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</si>
  <si>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</si>
  <si>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</si>
  <si>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</si>
  <si>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</si>
  <si>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</si>
  <si>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</si>
  <si>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</si>
  <si>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</si>
  <si>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</si>
  <si>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</si>
  <si>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</si>
  <si>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</si>
  <si>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</si>
  <si>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</si>
  <si>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</si>
  <si>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</si>
  <si>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</si>
  <si>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</si>
  <si>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</si>
  <si>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</si>
  <si>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</si>
  <si>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</si>
  <si>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</si>
  <si>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</si>
  <si>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</si>
  <si>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</si>
  <si>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</si>
  <si>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</si>
  <si>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</si>
  <si>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</si>
  <si>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</si>
  <si>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</si>
  <si>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</si>
  <si>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</si>
  <si>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</si>
  <si>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</si>
  <si>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</si>
  <si>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</si>
  <si>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</si>
  <si>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</si>
  <si>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</si>
  <si>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</si>
  <si>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</si>
  <si>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</si>
  <si>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</si>
  <si>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</si>
  <si>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</si>
  <si>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</si>
  <si>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</si>
  <si>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</si>
  <si>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</si>
  <si>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</si>
  <si>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</si>
  <si>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</si>
  <si>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</si>
  <si>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</si>
  <si>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</si>
  <si>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</si>
  <si>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</si>
  <si>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</si>
  <si>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</si>
  <si>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</si>
  <si>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</si>
  <si>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</si>
  <si>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</si>
  <si>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</si>
  <si>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</si>
  <si>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</si>
  <si>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</si>
  <si>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</si>
  <si>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</si>
  <si>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</si>
  <si>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</si>
  <si>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</si>
  <si>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</si>
  <si>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</si>
  <si>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</si>
  <si>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</si>
  <si>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</si>
  <si>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</si>
  <si>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</si>
  <si>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</si>
  <si>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</si>
  <si>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</si>
  <si>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</si>
  <si>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</si>
  <si>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</si>
  <si>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</si>
  <si>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</si>
  <si>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</si>
  <si>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</si>
  <si>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</si>
  <si>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</si>
  <si>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</si>
  <si>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</si>
  <si>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</si>
  <si>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</si>
  <si>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</si>
  <si>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</si>
  <si>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</si>
  <si>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</si>
  <si>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</si>
  <si>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</si>
  <si>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</si>
  <si>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</si>
  <si>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</si>
  <si>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</si>
  <si>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</si>
  <si>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</si>
  <si>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</si>
  <si>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</si>
  <si>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</si>
  <si>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</si>
  <si>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</si>
  <si>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</si>
  <si>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</si>
  <si>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</si>
  <si>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</si>
  <si>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</si>
  <si>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</si>
  <si>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</si>
  <si>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</si>
  <si>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</si>
  <si>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</si>
  <si>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</si>
  <si>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</si>
  <si>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</si>
  <si>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</si>
  <si>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</si>
  <si>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</si>
  <si>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</si>
  <si>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</si>
  <si>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</si>
  <si>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</si>
  <si>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</si>
  <si>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</si>
  <si>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</si>
  <si>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</si>
  <si>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</si>
  <si>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</si>
  <si>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</si>
  <si>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</si>
  <si>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</si>
  <si>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</si>
  <si>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</si>
  <si>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</si>
  <si>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</si>
  <si>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</si>
  <si>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</si>
  <si>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</si>
  <si>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</si>
  <si>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</si>
  <si>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</si>
  <si>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</si>
  <si>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</si>
  <si>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</si>
  <si>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</si>
  <si>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</si>
  <si>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</si>
  <si>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</si>
  <si>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</si>
  <si>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</si>
  <si>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</si>
  <si>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</si>
  <si>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</si>
  <si>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</si>
  <si>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</si>
  <si>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</si>
  <si>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</si>
  <si>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</si>
  <si>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</si>
  <si>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</si>
  <si>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</si>
  <si>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</si>
  <si>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</si>
  <si>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</si>
  <si>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</si>
  <si>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</si>
  <si>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</si>
  <si>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</si>
  <si>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</si>
  <si>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</si>
  <si>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</si>
  <si>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</si>
  <si>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</si>
  <si>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</si>
  <si>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</si>
  <si>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</si>
  <si>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</si>
  <si>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</si>
  <si>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</si>
  <si>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</si>
  <si>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</si>
  <si>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</si>
  <si>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</si>
  <si>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</si>
  <si>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</si>
  <si>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</si>
  <si>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</si>
  <si>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</si>
  <si>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</si>
  <si>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</si>
  <si>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</si>
  <si>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</si>
  <si>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</si>
  <si>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</si>
  <si>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</si>
  <si>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</si>
  <si>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</si>
  <si>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</si>
  <si>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</si>
  <si>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</si>
  <si>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</si>
  <si>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</si>
  <si>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</si>
  <si>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</si>
  <si>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</si>
  <si>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</si>
  <si>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</si>
  <si>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</si>
  <si>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</si>
  <si>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</si>
  <si>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</si>
  <si>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</si>
  <si>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</si>
  <si>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</si>
  <si>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</si>
  <si>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</si>
  <si>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</si>
  <si>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</si>
  <si>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</si>
  <si>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</si>
  <si>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</si>
  <si>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</si>
  <si>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</si>
  <si>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</si>
  <si>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</si>
  <si>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</si>
  <si>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</si>
  <si>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</si>
  <si>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</si>
  <si>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</si>
  <si>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</si>
  <si>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</si>
  <si>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</si>
  <si>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</si>
  <si>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</si>
  <si>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</si>
  <si>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</si>
  <si>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</si>
  <si>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</si>
  <si>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</si>
  <si>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</si>
  <si>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</si>
  <si>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</si>
  <si>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</si>
  <si>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</si>
  <si>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</si>
  <si>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</si>
  <si>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</si>
  <si>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</si>
  <si>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</si>
  <si>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</si>
  <si>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</si>
  <si>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</si>
  <si>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</si>
  <si>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</si>
  <si>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</si>
  <si>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</si>
  <si>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</si>
  <si>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</si>
  <si>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</si>
  <si>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</si>
  <si>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</si>
  <si>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</si>
  <si>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</si>
  <si>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</si>
  <si>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</si>
  <si>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</si>
  <si>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</si>
  <si>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</si>
  <si>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</si>
  <si>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</si>
  <si>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</si>
  <si>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</si>
  <si>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</si>
  <si>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</si>
  <si>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</si>
  <si>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</si>
  <si>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</si>
  <si>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</si>
  <si>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</si>
  <si>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</si>
  <si>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</si>
  <si>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</si>
  <si>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</si>
  <si>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</si>
  <si>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</si>
  <si>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</si>
  <si>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</si>
  <si>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</si>
  <si>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</si>
  <si>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</si>
  <si>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</si>
  <si>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</si>
  <si>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</si>
  <si>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</si>
  <si>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</si>
  <si>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</si>
  <si>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</si>
  <si>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</si>
  <si>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</si>
  <si>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</si>
  <si>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</si>
  <si>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</si>
  <si>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</si>
  <si>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</si>
  <si>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</si>
  <si>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</si>
  <si>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</si>
  <si>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</si>
  <si>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</si>
  <si>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</si>
  <si>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</si>
  <si>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</si>
  <si>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</si>
  <si>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</si>
  <si>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</si>
  <si>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</si>
  <si>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</si>
  <si>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</si>
  <si>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</si>
  <si>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</si>
  <si>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</si>
  <si>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</si>
  <si>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</si>
  <si>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</si>
  <si>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</si>
  <si>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</si>
  <si>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</si>
  <si>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</si>
  <si>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</si>
  <si>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</si>
  <si>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</si>
  <si>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</si>
  <si>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</si>
  <si>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</si>
  <si>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</si>
  <si>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</si>
  <si>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</si>
  <si>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</si>
  <si>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</si>
  <si>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</si>
  <si>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</si>
  <si>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</si>
  <si>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</si>
  <si>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</si>
  <si>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</si>
  <si>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</si>
  <si>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</si>
  <si>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</si>
  <si>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</si>
  <si>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</si>
  <si>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</si>
  <si>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</si>
  <si>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</si>
  <si>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</si>
  <si>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</si>
  <si>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</si>
  <si>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</si>
  <si>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</si>
  <si>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</si>
  <si>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</si>
  <si>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</si>
  <si>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</si>
  <si>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</si>
  <si>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</si>
  <si>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</si>
  <si>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</si>
  <si>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</si>
  <si>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</si>
  <si>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</si>
  <si>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</si>
  <si>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</si>
  <si>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</si>
  <si>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</si>
  <si>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</si>
  <si>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</si>
  <si>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</si>
  <si>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</si>
  <si>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</si>
  <si>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</si>
  <si>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</si>
  <si>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</si>
  <si>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</si>
  <si>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</si>
  <si>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</si>
  <si>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</si>
  <si>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</si>
  <si>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</si>
  <si>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</si>
  <si>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</si>
  <si>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</si>
  <si>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</si>
  <si>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</si>
  <si>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</si>
  <si>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</si>
  <si>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</si>
  <si>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</si>
  <si>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</si>
  <si>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</si>
  <si>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</si>
  <si>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</si>
  <si>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</si>
  <si>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</si>
  <si>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</si>
  <si>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</si>
  <si>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</si>
  <si>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</si>
  <si>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</si>
  <si>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</si>
  <si>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</si>
  <si>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</si>
  <si>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</si>
  <si>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</si>
  <si>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</si>
  <si>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</si>
  <si>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</si>
  <si>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</si>
  <si>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</si>
  <si>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</si>
  <si>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</si>
  <si>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</si>
  <si>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</si>
  <si>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</si>
  <si>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</si>
  <si>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</si>
  <si>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</si>
  <si>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</si>
  <si>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</si>
  <si>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</si>
  <si>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</si>
  <si>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</si>
  <si>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</si>
  <si>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</si>
  <si>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</si>
  <si>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</si>
  <si>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</si>
  <si>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</si>
  <si>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</si>
  <si>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</si>
  <si>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</si>
  <si>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</si>
  <si>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</si>
  <si>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</si>
  <si>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</si>
  <si>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</si>
  <si>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</si>
  <si>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</si>
  <si>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</si>
  <si>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</si>
  <si>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</si>
  <si>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</si>
  <si>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</si>
  <si>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</si>
  <si>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</si>
  <si>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</si>
  <si>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</si>
  <si>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</si>
  <si>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</si>
  <si>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</si>
  <si>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</si>
  <si>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</si>
  <si>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</si>
  <si>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</si>
  <si>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</si>
  <si>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</si>
  <si>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</si>
  <si>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</si>
  <si>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</si>
  <si>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</si>
  <si>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</si>
  <si>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</si>
  <si>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</si>
  <si>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</si>
  <si>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</si>
  <si>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</si>
  <si>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</si>
  <si>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</si>
  <si>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</si>
  <si>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</si>
  <si>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</si>
  <si>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</si>
  <si>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</si>
  <si>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</si>
  <si>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</si>
  <si>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</si>
  <si>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</si>
  <si>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</si>
  <si>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</si>
  <si>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</si>
  <si>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</si>
  <si>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</si>
  <si>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</si>
  <si>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</si>
  <si>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</si>
  <si>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</si>
  <si>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</si>
  <si>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</si>
  <si>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</si>
  <si>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</si>
  <si>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</si>
  <si>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</si>
  <si>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</si>
  <si>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</si>
  <si>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</si>
  <si>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</si>
  <si>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</si>
  <si>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</si>
  <si>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</si>
  <si>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</si>
  <si>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</si>
  <si>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</si>
  <si>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</si>
  <si>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</si>
  <si>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</si>
  <si>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</si>
  <si>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</si>
  <si>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</si>
  <si>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</si>
  <si>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</si>
  <si>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</si>
  <si>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</si>
  <si>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</si>
  <si>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</si>
  <si>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</si>
  <si>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</si>
  <si>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</si>
  <si>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</si>
  <si>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</si>
  <si>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</si>
  <si>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</si>
  <si>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</si>
  <si>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</si>
  <si>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</si>
  <si>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</si>
  <si>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</si>
  <si>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</si>
  <si>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</si>
  <si>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</si>
  <si>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</si>
  <si>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</si>
  <si>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</si>
  <si>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</si>
  <si>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</si>
  <si>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</si>
  <si>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</si>
  <si>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</si>
  <si>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</si>
  <si>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</si>
  <si>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</si>
  <si>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</si>
  <si>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</si>
  <si>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</si>
  <si>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</si>
  <si>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</si>
  <si>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</si>
  <si>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</si>
  <si>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</si>
  <si>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</si>
  <si>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</si>
  <si>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</si>
  <si>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</si>
  <si>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</si>
  <si>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</si>
  <si>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</si>
  <si>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</si>
  <si>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</si>
  <si>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</si>
  <si>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</si>
  <si>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</si>
  <si>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</si>
  <si>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</si>
  <si>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</si>
  <si>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</si>
  <si>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</si>
  <si>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</si>
  <si>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</si>
  <si>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</si>
  <si>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</si>
  <si>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</si>
  <si>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</si>
  <si>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</si>
  <si>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</si>
  <si>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</si>
  <si>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</si>
  <si>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</si>
  <si>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</si>
  <si>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</si>
  <si>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</si>
  <si>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</si>
  <si>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</si>
  <si>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</si>
  <si>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</si>
  <si>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</si>
  <si>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</si>
  <si>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</si>
  <si>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</si>
  <si>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</si>
  <si>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</si>
  <si>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</si>
  <si>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</si>
  <si>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</si>
  <si>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</si>
  <si>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</si>
  <si>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</si>
  <si>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</si>
  <si>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</si>
  <si>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</si>
  <si>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</si>
  <si>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</si>
  <si>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</si>
  <si>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</si>
  <si>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</si>
  <si>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</si>
  <si>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</si>
  <si>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</si>
  <si>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</si>
  <si>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</si>
  <si>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</si>
  <si>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</si>
  <si>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</si>
  <si>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</si>
  <si>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</si>
  <si>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</si>
  <si>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</si>
  <si>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</si>
  <si>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</si>
  <si>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</si>
  <si>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</si>
  <si>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</si>
  <si>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</si>
  <si>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</si>
  <si>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</si>
  <si>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</si>
  <si>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</si>
  <si>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</si>
  <si>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</si>
  <si>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</si>
  <si>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</si>
  <si>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</si>
  <si>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</si>
  <si>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</si>
  <si>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</si>
  <si>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</si>
  <si>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</si>
  <si>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</si>
  <si>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</si>
  <si>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</si>
  <si>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</si>
  <si>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</si>
  <si>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</si>
  <si>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</si>
  <si>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</si>
  <si>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</si>
  <si>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</si>
  <si>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</si>
  <si>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</si>
  <si>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</si>
  <si>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</si>
  <si>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</si>
  <si>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</si>
  <si>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</si>
  <si>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</si>
  <si>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</si>
  <si>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</si>
  <si>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</si>
  <si>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</si>
  <si>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</si>
  <si>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</si>
  <si>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</si>
  <si>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</si>
  <si>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</si>
  <si>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</si>
  <si>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</si>
  <si>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</si>
  <si>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</si>
  <si>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</si>
  <si>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</si>
  <si>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</si>
  <si>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</si>
  <si>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</si>
  <si>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</si>
  <si>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</si>
  <si>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</si>
  <si>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</si>
  <si>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</si>
  <si>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</si>
  <si>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</si>
  <si>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</si>
  <si>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</si>
  <si>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</si>
  <si>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</si>
  <si>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</si>
  <si>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</si>
  <si>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</si>
  <si>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</si>
  <si>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</si>
  <si>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</si>
  <si>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</si>
  <si>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</si>
  <si>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</si>
  <si>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</si>
  <si>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</si>
  <si>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</si>
  <si>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</si>
  <si>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</si>
  <si>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</si>
  <si>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</si>
  <si>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</si>
  <si>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</si>
  <si>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</si>
  <si>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</si>
  <si>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</si>
  <si>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</si>
  <si>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</si>
  <si>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</si>
  <si>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</si>
  <si>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</si>
  <si>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</si>
  <si>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</si>
  <si>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</si>
  <si>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</si>
  <si>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</si>
  <si>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</si>
  <si>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</si>
  <si>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</si>
  <si>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</si>
  <si>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</si>
  <si>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</si>
  <si>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</si>
  <si>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</si>
  <si>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</si>
  <si>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</si>
  <si>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</si>
  <si>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</si>
  <si>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</si>
  <si>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</si>
  <si>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</si>
  <si>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</si>
  <si>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</si>
  <si>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</si>
  <si>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</si>
  <si>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</si>
  <si>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</si>
  <si>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</si>
  <si>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</si>
  <si>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</si>
  <si>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</si>
  <si>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</si>
  <si>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</si>
  <si>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</si>
  <si>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</si>
  <si>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</si>
  <si>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</si>
  <si>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</si>
  <si>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</si>
  <si>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</si>
  <si>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</si>
  <si>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</si>
  <si>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</si>
  <si>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</si>
  <si>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</si>
  <si>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</si>
  <si>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</si>
  <si>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</si>
  <si>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</si>
  <si>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</si>
  <si>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</si>
  <si>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</si>
  <si>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</si>
  <si>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</si>
  <si>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</si>
  <si>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</si>
  <si>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</si>
  <si>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</si>
  <si>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</si>
  <si>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</si>
  <si>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</si>
  <si>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</si>
  <si>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</si>
  <si>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</si>
  <si>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</si>
  <si>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</si>
  <si>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</si>
  <si>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</si>
  <si>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</si>
  <si>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</si>
  <si>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</si>
  <si>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</si>
  <si>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</si>
  <si>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</si>
  <si>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</si>
  <si>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</si>
  <si>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</si>
  <si>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</si>
  <si>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</si>
  <si>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</si>
  <si>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</si>
  <si>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</si>
  <si>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</si>
  <si>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</si>
  <si>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</si>
  <si>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</si>
  <si>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</si>
  <si>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</si>
  <si>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</si>
  <si>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</si>
  <si>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</si>
  <si>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</si>
  <si>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</si>
  <si>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</si>
  <si>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</si>
  <si>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</si>
  <si>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</si>
  <si>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</si>
  <si>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</si>
  <si>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</si>
  <si>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</si>
  <si>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</si>
  <si>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</si>
  <si>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</si>
  <si>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</si>
  <si>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</si>
  <si>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</si>
  <si>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</si>
  <si>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</si>
  <si>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</si>
  <si>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</si>
  <si>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</si>
  <si>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</si>
  <si>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</si>
  <si>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</si>
  <si>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</si>
  <si>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</si>
  <si>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</si>
  <si>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</si>
  <si>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</si>
  <si>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</si>
  <si>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</si>
  <si>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</si>
  <si>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</si>
  <si>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</si>
  <si>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</si>
  <si>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</si>
  <si>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</si>
  <si>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</si>
  <si>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</si>
  <si>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</si>
  <si>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</si>
  <si>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</si>
  <si>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</si>
  <si>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</si>
  <si>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</si>
  <si>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</si>
  <si>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</si>
  <si>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</si>
  <si>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</si>
  <si>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</si>
  <si>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</si>
  <si>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</si>
  <si>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</si>
  <si>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</si>
  <si>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</si>
  <si>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</si>
  <si>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</si>
  <si>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</si>
  <si>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</si>
  <si>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</si>
  <si>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</si>
  <si>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</si>
  <si>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</si>
  <si>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</si>
  <si>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</si>
  <si>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</si>
  <si>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</si>
  <si>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</si>
  <si>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</si>
  <si>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</si>
  <si>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</si>
  <si>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</si>
  <si>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</si>
  <si>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</si>
  <si>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</si>
  <si>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</si>
  <si>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</si>
  <si>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</si>
  <si>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</si>
  <si>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</si>
  <si>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</si>
  <si>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</si>
  <si>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</si>
  <si>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</si>
  <si>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</si>
  <si>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</si>
  <si>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</si>
  <si>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</si>
  <si>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</si>
  <si>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</si>
  <si>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</si>
  <si>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</si>
  <si>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</si>
  <si>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</si>
  <si>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</si>
  <si>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</si>
  <si>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</si>
  <si>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</si>
  <si>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</si>
  <si>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</si>
  <si>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</si>
  <si>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</si>
  <si>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</si>
  <si>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</si>
  <si>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</si>
  <si>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</si>
  <si>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</si>
  <si>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</si>
  <si>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</si>
  <si>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</si>
  <si>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</si>
  <si>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</si>
  <si>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</si>
  <si>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</si>
  <si>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</si>
  <si>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</si>
  <si>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</si>
  <si>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</si>
  <si>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</si>
  <si>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</si>
  <si>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</si>
  <si>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</si>
  <si>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</si>
  <si>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</si>
  <si>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</si>
  <si>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</si>
  <si>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</si>
  <si>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</si>
  <si>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</si>
  <si>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</si>
  <si>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</si>
  <si>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</si>
  <si>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</si>
  <si>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</si>
  <si>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</si>
  <si>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</si>
  <si>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</si>
  <si>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</si>
  <si>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</si>
  <si>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</si>
  <si>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</si>
  <si>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</si>
  <si>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</si>
  <si>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</si>
  <si>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</si>
  <si>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</si>
  <si>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</si>
  <si>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</si>
  <si>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</si>
  <si>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</si>
  <si>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</si>
  <si>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</si>
  <si>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</si>
  <si>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</si>
  <si>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</si>
  <si>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</si>
  <si>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</si>
  <si>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</si>
  <si>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</si>
  <si>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</si>
  <si>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</si>
  <si>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</si>
  <si>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</si>
  <si>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</si>
  <si>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</si>
  <si>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</si>
  <si>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</si>
  <si>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</si>
  <si>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</si>
  <si>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</si>
  <si>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</si>
  <si>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</si>
  <si>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</si>
  <si>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</si>
  <si>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</si>
  <si>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</si>
  <si>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</si>
  <si>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</si>
  <si>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</si>
  <si>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</si>
  <si>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</si>
  <si>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</si>
  <si>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</si>
  <si>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</si>
  <si>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</si>
  <si>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</si>
  <si>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</si>
  <si>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</si>
  <si>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</si>
  <si>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</si>
  <si>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</si>
  <si>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</si>
  <si>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</si>
  <si>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</si>
  <si>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</si>
  <si>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</si>
  <si>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</si>
  <si>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</si>
  <si>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</si>
  <si>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</si>
  <si>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</si>
  <si>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</si>
  <si>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</si>
  <si>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</si>
  <si>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</si>
  <si>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</si>
  <si>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</si>
  <si>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</si>
  <si>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</si>
  <si>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</si>
  <si>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</si>
  <si>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</si>
  <si>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</si>
  <si>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</si>
  <si>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</si>
  <si>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</si>
  <si>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</si>
  <si>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</si>
  <si>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</si>
  <si>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</si>
  <si>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</si>
  <si>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</si>
  <si>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</si>
  <si>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</si>
  <si>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</si>
  <si>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</si>
  <si>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</si>
  <si>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</si>
  <si>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</si>
  <si>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</si>
  <si>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</si>
  <si>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</si>
  <si>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</si>
  <si>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</si>
  <si>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</si>
  <si>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</si>
  <si>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</si>
  <si>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</si>
  <si>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</si>
  <si>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</si>
  <si>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</si>
  <si>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</si>
  <si>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</si>
  <si>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</si>
  <si>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</si>
  <si>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</si>
  <si>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</si>
  <si>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</si>
  <si>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</si>
  <si>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</si>
  <si>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</si>
  <si>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</si>
  <si>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</si>
  <si>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</si>
  <si>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</si>
  <si>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</si>
  <si>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</si>
  <si>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</si>
  <si>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</si>
  <si>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</si>
  <si>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</si>
  <si>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</si>
  <si>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</si>
  <si>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</si>
  <si>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</si>
  <si>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</si>
  <si>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</si>
  <si>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</si>
  <si>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</si>
  <si>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</si>
  <si>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</si>
  <si>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</si>
  <si>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</si>
  <si>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</si>
  <si>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</si>
  <si>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</si>
  <si>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</si>
  <si>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</si>
  <si>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</si>
  <si>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</si>
  <si>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</si>
  <si>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</si>
  <si>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</si>
  <si>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</si>
  <si>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</si>
  <si>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</si>
  <si>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</si>
  <si>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</si>
  <si>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</si>
  <si>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</si>
  <si>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</si>
  <si>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</si>
  <si>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</si>
  <si>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</si>
  <si>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</si>
  <si>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</si>
  <si>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</si>
  <si>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</si>
  <si>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</si>
  <si>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</si>
  <si>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</si>
  <si>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</si>
  <si>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</si>
  <si>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</si>
  <si>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</si>
  <si>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</si>
  <si>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</si>
  <si>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</si>
  <si>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</si>
  <si>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</si>
  <si>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</si>
  <si>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</si>
  <si>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</si>
  <si>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</si>
  <si>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</si>
  <si>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</si>
  <si>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</si>
  <si>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</si>
  <si>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</si>
  <si>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</si>
  <si>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</si>
  <si>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</si>
  <si>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</si>
  <si>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</si>
  <si>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</si>
  <si>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</si>
  <si>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</si>
  <si>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</si>
  <si>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</si>
  <si>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</si>
  <si>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</si>
  <si>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</si>
  <si>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</si>
  <si>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</si>
  <si>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</si>
  <si>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</si>
  <si>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</si>
  <si>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</si>
  <si>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</si>
  <si>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</si>
  <si>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</si>
  <si>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</si>
  <si>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</si>
  <si>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</si>
  <si>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</si>
  <si>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</si>
  <si>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</si>
  <si>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</si>
  <si>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</si>
  <si>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</si>
  <si>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</si>
  <si>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</si>
  <si>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</si>
  <si>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</si>
  <si>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</si>
  <si>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</si>
  <si>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</si>
  <si>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</si>
  <si>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</si>
  <si>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</si>
  <si>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</si>
  <si>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</si>
  <si>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</si>
  <si>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</si>
  <si>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</si>
  <si>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</si>
  <si>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</si>
  <si>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</si>
  <si>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</si>
  <si>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</si>
  <si>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</si>
  <si>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</si>
  <si>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</si>
  <si>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</si>
  <si>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</si>
  <si>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</si>
  <si>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</si>
  <si>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</si>
  <si>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</si>
  <si>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</si>
  <si>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</si>
  <si>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</si>
  <si>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</si>
  <si>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</si>
  <si>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</si>
  <si>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</si>
  <si>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</si>
  <si>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</si>
  <si>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</si>
  <si>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</si>
  <si>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</si>
  <si>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</si>
  <si>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</si>
  <si>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</si>
  <si>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</si>
  <si>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</si>
  <si>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</si>
  <si>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</si>
  <si>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</si>
  <si>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</si>
  <si>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</si>
  <si>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</si>
  <si>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</si>
  <si>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</si>
  <si>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</si>
  <si>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</si>
  <si>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</si>
  <si>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</si>
  <si>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</si>
  <si>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</si>
  <si>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</si>
  <si>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</si>
  <si>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</si>
  <si>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</si>
  <si>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</si>
  <si>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</si>
  <si>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</si>
  <si>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</si>
  <si>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</si>
  <si>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</si>
  <si>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</si>
  <si>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</si>
  <si>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</si>
  <si>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</si>
  <si>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</si>
  <si>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</si>
  <si>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</si>
  <si>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</si>
  <si>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</si>
  <si>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</si>
  <si>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</si>
  <si>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</si>
  <si>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</si>
  <si>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</si>
  <si>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</si>
  <si>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</si>
  <si>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</si>
  <si>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</si>
  <si>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</si>
  <si>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</si>
  <si>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</si>
  <si>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</si>
  <si>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</si>
  <si>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</si>
  <si>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</si>
  <si>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</si>
  <si>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</si>
  <si>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</si>
  <si>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</si>
  <si>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</si>
  <si>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</si>
  <si>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</si>
  <si>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</si>
  <si>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</si>
  <si>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</si>
  <si>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</si>
  <si>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</si>
  <si>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</si>
  <si>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</si>
  <si>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</si>
  <si>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</si>
  <si>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</si>
  <si>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</si>
  <si>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</si>
  <si>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</si>
  <si>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</si>
  <si>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</si>
  <si>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</si>
  <si>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</si>
  <si>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</si>
  <si>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</si>
  <si>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</si>
  <si>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</si>
  <si>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</si>
  <si>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</si>
  <si>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</si>
  <si>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</si>
  <si>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</si>
  <si>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</si>
  <si>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</si>
  <si>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</si>
  <si>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</si>
  <si>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</si>
  <si>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</si>
  <si>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</si>
  <si>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</si>
  <si>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</si>
  <si>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</si>
  <si>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</si>
  <si>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</si>
  <si>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</si>
  <si>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</si>
  <si>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</si>
  <si>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</si>
  <si>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</si>
  <si>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</si>
  <si>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</si>
  <si>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</si>
  <si>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</si>
  <si>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</si>
  <si>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</si>
  <si>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</si>
  <si>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</si>
  <si>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</si>
  <si>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</si>
  <si>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</si>
  <si>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</si>
  <si>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</si>
  <si>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</si>
  <si>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</si>
  <si>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</si>
  <si>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</si>
  <si>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</si>
  <si>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</si>
  <si>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</si>
  <si>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</si>
  <si>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</si>
  <si>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</si>
  <si>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</si>
  <si>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</si>
  <si>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</si>
  <si>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</si>
  <si>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</si>
  <si>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</si>
  <si>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</si>
  <si>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</si>
  <si>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</si>
  <si>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</si>
  <si>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</si>
  <si>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</si>
  <si>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</si>
  <si>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</si>
  <si>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</si>
  <si>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</si>
  <si>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</si>
  <si>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</si>
  <si>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</si>
  <si>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</si>
  <si>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</si>
  <si>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</si>
  <si>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</si>
  <si>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</si>
  <si>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</si>
  <si>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</si>
  <si>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</si>
  <si>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</si>
  <si>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</si>
  <si>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</si>
  <si>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</si>
  <si>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</si>
  <si>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</si>
  <si>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</si>
  <si>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</si>
  <si>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</si>
  <si>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</si>
  <si>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</si>
  <si>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</si>
  <si>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</si>
  <si>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</si>
  <si>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</si>
  <si>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</si>
  <si>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</si>
  <si>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</si>
  <si>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</si>
  <si>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</si>
  <si>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</si>
  <si>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</si>
  <si>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</si>
  <si>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</si>
  <si>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</si>
  <si>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</si>
  <si>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</si>
  <si>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</si>
  <si>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</si>
  <si>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</si>
  <si>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</si>
  <si>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</si>
  <si>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</si>
  <si>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</si>
  <si>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</si>
  <si>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</si>
  <si>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</si>
  <si>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</si>
  <si>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</si>
  <si>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</si>
  <si>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</si>
  <si>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</si>
  <si>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</si>
  <si>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</si>
  <si>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</si>
  <si>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</si>
  <si>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</si>
  <si>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</si>
  <si>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</si>
  <si>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</si>
  <si>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</si>
  <si>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</si>
  <si>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</si>
  <si>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</si>
  <si>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</si>
  <si>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</si>
  <si>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</si>
  <si>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</si>
  <si>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</si>
  <si>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</si>
  <si>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</si>
  <si>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</si>
  <si>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</si>
  <si>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</si>
  <si>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</si>
  <si>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</si>
  <si>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</si>
  <si>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</si>
  <si>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</si>
  <si>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</si>
  <si>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</si>
  <si>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</si>
  <si>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</si>
  <si>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</si>
  <si>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</si>
  <si>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</si>
  <si>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</si>
  <si>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</si>
  <si>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</si>
  <si>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</si>
  <si>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</si>
  <si>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</si>
  <si>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</si>
  <si>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</si>
  <si>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</si>
  <si>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</si>
  <si>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</si>
  <si>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</si>
  <si>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</si>
  <si>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</si>
  <si>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</si>
  <si>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</si>
  <si>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</si>
  <si>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</si>
  <si>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</si>
  <si>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</si>
  <si>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</si>
  <si>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</si>
  <si>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</si>
  <si>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</si>
  <si>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</si>
  <si>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</si>
  <si>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</si>
  <si>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</si>
  <si>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</si>
  <si>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</si>
  <si>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</si>
  <si>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</si>
  <si>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</si>
  <si>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</si>
  <si>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</si>
  <si>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</si>
  <si>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</si>
  <si>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</si>
  <si>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</si>
  <si>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</si>
  <si>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</si>
  <si>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</si>
  <si>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</si>
  <si>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</si>
  <si>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</si>
  <si>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</si>
  <si>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</si>
  <si>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</si>
  <si>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</si>
  <si>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</si>
  <si>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</si>
  <si>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</si>
  <si>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</si>
  <si>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</si>
  <si>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</si>
  <si>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</si>
  <si>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</si>
  <si>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</si>
  <si>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</si>
  <si>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</si>
  <si>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</si>
  <si>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</si>
  <si>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</si>
  <si>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</si>
  <si>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</si>
  <si>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</si>
  <si>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</si>
  <si>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</si>
  <si>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</si>
  <si>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</si>
  <si>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</si>
  <si>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</si>
  <si>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</si>
  <si>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</si>
  <si>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</si>
  <si>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</si>
  <si>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</si>
  <si>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</si>
  <si>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</si>
  <si>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</si>
  <si>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</si>
  <si>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</si>
  <si>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</si>
  <si>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</si>
  <si>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</si>
  <si>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</si>
  <si>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</si>
  <si>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</si>
  <si>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</si>
  <si>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</si>
  <si>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</si>
  <si>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</si>
  <si>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</si>
  <si>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</si>
  <si>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</si>
  <si>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</si>
  <si>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</si>
  <si>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</si>
  <si>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</si>
  <si>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</si>
  <si>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</si>
  <si>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</si>
  <si>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</si>
  <si>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</si>
  <si>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</si>
  <si>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</si>
  <si>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</si>
  <si>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</si>
  <si>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</si>
  <si>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</si>
  <si>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</si>
  <si>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</si>
  <si>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</si>
  <si>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</si>
  <si>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</si>
  <si>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</si>
  <si>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</si>
  <si>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</si>
  <si>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</si>
  <si>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</si>
  <si>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</si>
  <si>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</si>
  <si>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</si>
  <si>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</si>
  <si>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</si>
  <si>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</si>
  <si>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</si>
  <si>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</si>
  <si>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</si>
  <si>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</si>
  <si>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</si>
  <si>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</si>
  <si>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</si>
  <si>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</si>
  <si>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</si>
  <si>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</si>
  <si>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</si>
  <si>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</si>
  <si>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</si>
  <si>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</si>
  <si>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</si>
  <si>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</si>
  <si>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</si>
  <si>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</si>
  <si>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</si>
  <si>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</si>
  <si>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</si>
  <si>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</si>
  <si>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</si>
  <si>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</si>
  <si>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</si>
  <si>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</si>
  <si>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</si>
  <si>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</si>
  <si>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</si>
  <si>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</si>
  <si>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</si>
  <si>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</si>
  <si>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</si>
  <si>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</si>
  <si>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</si>
  <si>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</si>
  <si>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</si>
  <si>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</si>
  <si>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</si>
  <si>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</si>
  <si>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</si>
  <si>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</si>
  <si>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</si>
  <si>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</si>
  <si>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</si>
  <si>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</si>
  <si>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</si>
  <si>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</si>
  <si>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</si>
  <si>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</si>
  <si>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</si>
  <si>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</si>
  <si>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</si>
  <si>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</si>
  <si>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</si>
  <si>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</si>
  <si>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</si>
  <si>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</si>
  <si>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</si>
  <si>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</si>
  <si>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</si>
  <si>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</si>
  <si>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</si>
  <si>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</si>
  <si>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</si>
  <si>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</si>
  <si>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</si>
  <si>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</si>
  <si>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</si>
  <si>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</si>
  <si>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</si>
  <si>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</si>
  <si>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</si>
  <si>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</si>
  <si>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</si>
  <si>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</si>
  <si>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</si>
  <si>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</si>
  <si>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</si>
  <si>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</si>
  <si>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</si>
  <si>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</si>
  <si>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</si>
  <si>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</si>
  <si>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</si>
  <si>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</si>
  <si>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</si>
  <si>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</si>
  <si>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</si>
  <si>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</si>
  <si>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</si>
  <si>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</si>
  <si>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</si>
  <si>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</si>
  <si>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</si>
  <si>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</si>
  <si>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</si>
  <si>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</si>
  <si>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</si>
  <si>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</si>
  <si>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</si>
  <si>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</si>
  <si>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</si>
  <si>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</si>
  <si>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</si>
  <si>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</si>
  <si>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</si>
  <si>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</si>
  <si>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</si>
  <si>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</si>
  <si>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</si>
  <si>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</si>
  <si>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</si>
  <si>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</si>
  <si>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</si>
  <si>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</si>
  <si>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</si>
  <si>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</si>
  <si>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</si>
  <si>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</si>
  <si>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</si>
  <si>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</si>
  <si>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</si>
  <si>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</si>
  <si>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</si>
  <si>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</si>
  <si>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</si>
  <si>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</si>
  <si>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</si>
  <si>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</si>
  <si>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</si>
  <si>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</si>
  <si>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</si>
  <si>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</si>
  <si>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</si>
  <si>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</si>
  <si>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</si>
  <si>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</si>
  <si>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</si>
  <si>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</si>
  <si>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</si>
  <si>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</si>
  <si>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</si>
  <si>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</si>
  <si>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</si>
  <si>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</si>
  <si>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</si>
  <si>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</si>
  <si>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</si>
  <si>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</si>
  <si>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</si>
  <si>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</si>
  <si>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</si>
  <si>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</si>
  <si>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</si>
  <si>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</si>
  <si>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</si>
  <si>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</si>
  <si>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</si>
  <si>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</si>
  <si>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</si>
  <si>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</si>
  <si>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</si>
  <si>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</si>
  <si>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</si>
  <si>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</si>
  <si>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</si>
  <si>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</si>
  <si>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</si>
  <si>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</si>
  <si>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</si>
  <si>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</si>
  <si>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</si>
  <si>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</si>
  <si>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</si>
  <si>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</si>
  <si>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</si>
  <si>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</si>
  <si>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</si>
  <si>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</si>
  <si>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</si>
  <si>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</si>
  <si>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</si>
  <si>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</si>
  <si>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</si>
  <si>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</si>
  <si>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</si>
  <si>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</si>
  <si>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</si>
  <si>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</si>
  <si>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</si>
  <si>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</si>
  <si>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</si>
  <si>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</si>
  <si>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</si>
  <si>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</si>
  <si>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</si>
  <si>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</si>
  <si>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</si>
  <si>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</si>
  <si>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</si>
  <si>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</si>
  <si>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</si>
  <si>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</si>
  <si>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</si>
  <si>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</si>
  <si>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</si>
  <si>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</si>
  <si>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</si>
  <si>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</si>
  <si>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</si>
  <si>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</si>
  <si>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</si>
  <si>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</si>
  <si>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</si>
  <si>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</si>
  <si>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</si>
  <si>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</si>
  <si>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</si>
  <si>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</si>
  <si>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</si>
  <si>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</si>
  <si>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</si>
  <si>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</si>
  <si>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</si>
  <si>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</si>
  <si>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</si>
  <si>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</si>
  <si>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</si>
  <si>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</si>
  <si>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</si>
  <si>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</si>
  <si>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</si>
  <si>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</si>
  <si>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</si>
  <si>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</si>
  <si>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</si>
  <si>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</si>
  <si>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</si>
  <si>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</si>
  <si>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</si>
  <si>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زاگرس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</si>
  <si>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</si>
  <si>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</si>
  <si>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</si>
  <si>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</si>
  <si>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</si>
  <si>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</si>
  <si>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</si>
  <si>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</si>
  <si>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جمع امتیاز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</si>
  <si>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</si>
  <si>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</si>
  <si>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</si>
  <si>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</si>
  <si>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</si>
  <si>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</si>
  <si>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</si>
  <si>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</si>
  <si>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</si>
  <si>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</si>
  <si>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</si>
  <si>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</si>
  <si>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</si>
  <si>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</si>
  <si>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</si>
  <si>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زاگرس 897 تا 5482.5</t>
  </si>
  <si>
    <t>ضرر فروش 25 عدد زاگرس 19/6/97</t>
  </si>
  <si>
    <t>سهم علی از 102893 تا شغدیر</t>
  </si>
  <si>
    <t>ضرر 14923 عدد پارس</t>
  </si>
  <si>
    <t>پارس 5077 تا 3680</t>
  </si>
  <si>
    <t>تو بورس</t>
  </si>
  <si>
    <t>دستی</t>
  </si>
  <si>
    <t>دستی و سود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</si>
  <si>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</si>
  <si>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</si>
  <si>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</si>
  <si>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گواهی زعفران</t>
  </si>
  <si>
    <t>وجه تضمین 13 در 230</t>
  </si>
  <si>
    <t>از ملت علی به بورس 19/6/97</t>
  </si>
  <si>
    <t>بدهی به مهدی زعفران 19/6/97</t>
  </si>
  <si>
    <t>مجموع موقعیت باز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</si>
  <si>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</si>
  <si>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</si>
  <si>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</si>
  <si>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</si>
  <si>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</si>
  <si>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</si>
  <si>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</si>
  <si>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</si>
  <si>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علی از ملت خودش و سود واریزی</t>
  </si>
  <si>
    <t>واریزی 4.75 و برداشت بورس 0.0489</t>
  </si>
  <si>
    <t>به مریم برای دکتر 70 دادم و 150 گرفتم</t>
  </si>
  <si>
    <t>واریزی 20/6</t>
  </si>
  <si>
    <t>واریزی 19/6</t>
  </si>
  <si>
    <t>حساب مهدی</t>
  </si>
  <si>
    <t>سهام پارس در بورس مریم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</si>
  <si>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</si>
  <si>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</si>
  <si>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</si>
  <si>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</si>
  <si>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</si>
  <si>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زاگرس 39 تا 5588</t>
  </si>
  <si>
    <t>نطزین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</si>
  <si>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</si>
  <si>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</si>
  <si>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</si>
  <si>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</si>
  <si>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</si>
  <si>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</si>
  <si>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</si>
  <si>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حقوق مرداد 3.611078 و 1.3 هم از معوقه فروردین 13 پول پیش دادم</t>
  </si>
  <si>
    <t>سهم رضا</t>
  </si>
  <si>
    <t>امتیاز رضا</t>
  </si>
  <si>
    <t>جمع رضا</t>
  </si>
  <si>
    <t>رستوران احتشام</t>
  </si>
  <si>
    <t>بررسی سابقه و تصمیم درباره خرید زعفران پوشال معمولی  06</t>
  </si>
  <si>
    <t>22/6/1397</t>
  </si>
  <si>
    <t>مریم لباس خرید</t>
  </si>
  <si>
    <t>تعمیر کولر</t>
  </si>
  <si>
    <t>علی امتحانی وارد شد</t>
  </si>
  <si>
    <t>مهدی پول واریز کرد</t>
  </si>
  <si>
    <t>طلب رضا از علی</t>
  </si>
  <si>
    <t>مهدی پول واریز کرد و طلب از علی</t>
  </si>
  <si>
    <t>علی سهام فروخت</t>
  </si>
  <si>
    <t>مهدی واریز کرد و علی به مهدی بدهکار 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</si>
</sst>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opLeftCell="A7" workbookViewId="0">
      <selection activeCell="C22" sqref="C22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4085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4082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4084</v>
      </c>
      <c r="F3" s="100">
        <v>30</v>
      </c>
      <c r="G3" s="100">
        <f t="shared" ref="G3:G22" si="1">B3*F3</f>
        <v>90000000</v>
      </c>
      <c r="H3" s="100">
        <f t="shared" ref="H3:H22" si="2">C3*F3</f>
        <v>0</v>
      </c>
      <c r="I3" s="100">
        <f t="shared" ref="I3:I22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4093</v>
      </c>
      <c r="B4" s="18">
        <v>-35800</v>
      </c>
      <c r="C4" s="18">
        <v>0</v>
      </c>
      <c r="D4" s="117">
        <f t="shared" si="0"/>
        <v>-35800</v>
      </c>
      <c r="E4" s="103" t="s">
        <v>4004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4092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4092</v>
      </c>
      <c r="B6" s="18">
        <v>-33377</v>
      </c>
      <c r="C6" s="18">
        <v>0</v>
      </c>
      <c r="D6" s="117">
        <f t="shared" si="0"/>
        <v>-33377</v>
      </c>
      <c r="E6" s="19" t="s">
        <v>4097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4127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4127</v>
      </c>
      <c r="B8" s="18">
        <v>18000000</v>
      </c>
      <c r="C8" s="18">
        <v>0</v>
      </c>
      <c r="D8" s="117">
        <f t="shared" si="0"/>
        <v>18000000</v>
      </c>
      <c r="E8" s="19" t="s">
        <v>4128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4127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4127</v>
      </c>
      <c r="B10" s="18">
        <v>-11600</v>
      </c>
      <c r="C10" s="18">
        <v>0</v>
      </c>
      <c r="D10" s="117">
        <f t="shared" si="0"/>
        <v>-11600</v>
      </c>
      <c r="E10" s="19" t="s">
        <v>4132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4127</v>
      </c>
      <c r="B11" s="18">
        <v>-3304327</v>
      </c>
      <c r="C11" s="18">
        <v>0</v>
      </c>
      <c r="D11" s="117">
        <f t="shared" si="0"/>
        <v>-3304327</v>
      </c>
      <c r="E11" s="19" t="s">
        <v>4133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4137</v>
      </c>
      <c r="B12" s="18">
        <v>-3000900</v>
      </c>
      <c r="C12" s="18">
        <v>0</v>
      </c>
      <c r="D12" s="117">
        <f t="shared" si="0"/>
        <v>-3000900</v>
      </c>
      <c r="E12" s="20" t="s">
        <v>4138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4143</v>
      </c>
      <c r="B13" s="18">
        <v>-2760900</v>
      </c>
      <c r="C13" s="18">
        <v>0</v>
      </c>
      <c r="D13" s="117">
        <f t="shared" si="0"/>
        <v>-2760900</v>
      </c>
      <c r="E13" s="20" t="s">
        <v>4144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4157</v>
      </c>
      <c r="B14" s="18">
        <v>1000000</v>
      </c>
      <c r="C14" s="18">
        <v>0</v>
      </c>
      <c r="D14" s="117">
        <f t="shared" si="0"/>
        <v>1000000</v>
      </c>
      <c r="E14" s="20" t="s">
        <v>4135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4177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4173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4173</v>
      </c>
      <c r="B17" s="18">
        <v>783000</v>
      </c>
      <c r="C17" s="18">
        <v>0</v>
      </c>
      <c r="D17" s="117">
        <f t="shared" si="0"/>
        <v>783000</v>
      </c>
      <c r="E17" s="20" t="s">
        <v>4181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4209</v>
      </c>
      <c r="B18" s="18">
        <v>-750500</v>
      </c>
      <c r="C18" s="18">
        <v>0</v>
      </c>
      <c r="D18" s="117">
        <f t="shared" si="0"/>
        <v>-750500</v>
      </c>
      <c r="E18" s="20" t="s">
        <v>4210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4246</v>
      </c>
      <c r="B19" s="18">
        <v>700000</v>
      </c>
      <c r="C19" s="18">
        <v>0</v>
      </c>
      <c r="D19" s="117">
        <f t="shared" si="0"/>
        <v>700000</v>
      </c>
      <c r="E19" s="20" t="s">
        <v>3926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4246</v>
      </c>
      <c r="B20" s="18">
        <v>-99000</v>
      </c>
      <c r="C20" s="18">
        <v>0</v>
      </c>
      <c r="D20" s="117">
        <f t="shared" si="0"/>
        <v>-99000</v>
      </c>
      <c r="E20" s="19" t="s">
        <v>4260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4262</v>
      </c>
      <c r="B21" s="18">
        <v>-205750</v>
      </c>
      <c r="C21" s="18">
        <v>0</v>
      </c>
      <c r="D21" s="117">
        <f t="shared" si="0"/>
        <v>-205750</v>
      </c>
      <c r="E21" s="19" t="s">
        <v>4263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4262</v>
      </c>
      <c r="B22" s="18">
        <v>-95000</v>
      </c>
      <c r="C22" s="18">
        <v>0</v>
      </c>
      <c r="D22" s="117">
        <f t="shared" si="0"/>
        <v>-95000</v>
      </c>
      <c r="E22" s="19" t="s">
        <v>4264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/>
      <c r="B23" s="18"/>
      <c r="C23" s="18"/>
      <c r="D23" s="117"/>
      <c r="E23" s="19"/>
      <c r="F23" s="100"/>
      <c r="G23" s="100"/>
      <c r="H23" s="100"/>
      <c r="I23" s="100"/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/>
      <c r="B24" s="18"/>
      <c r="C24" s="18"/>
      <c r="D24" s="117"/>
      <c r="E24" s="19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/>
      <c r="B25" s="18"/>
      <c r="C25" s="18"/>
      <c r="D25" s="117"/>
      <c r="E25" s="19"/>
      <c r="F25" s="100"/>
      <c r="G25" s="100"/>
      <c r="H25" s="100"/>
      <c r="I25" s="100"/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16"/>
      <c r="B26" s="116"/>
      <c r="C26" s="116"/>
      <c r="D26" s="116"/>
      <c r="E26" s="116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16" t="s">
        <v>6</v>
      </c>
      <c r="B27" s="117">
        <f>SUM(B2:B26)</f>
        <v>341097</v>
      </c>
      <c r="C27" s="117">
        <f>SUM(C2:C22)</f>
        <v>7835443</v>
      </c>
      <c r="D27" s="117">
        <f>SUM(D2:D22)</f>
        <v>-7494346</v>
      </c>
      <c r="E27" s="116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/>
      <c r="G28" s="18">
        <f>SUM(G2:G26)</f>
        <v>51426854</v>
      </c>
      <c r="H28" s="18">
        <f>SUM(H2:H26)</f>
        <v>242898733</v>
      </c>
      <c r="I28" s="18">
        <f>SUM(I2:I26)</f>
        <v>-191471879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-11953237</v>
      </c>
      <c r="E33" s="41" t="s">
        <v>95</v>
      </c>
      <c r="F33" s="100"/>
      <c r="G33" s="18">
        <v>600</v>
      </c>
      <c r="H33" s="18">
        <f>G33*H28/G28</f>
        <v>2833.9131886232044</v>
      </c>
      <c r="I33" s="18">
        <f>G33*I28/G28</f>
        <v>-2233.9131886232044</v>
      </c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814100</v>
      </c>
      <c r="E34" s="54" t="s">
        <v>4086</v>
      </c>
      <c r="F34" s="100"/>
      <c r="G34" s="9" t="s">
        <v>1040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42">
        <v>-80000</v>
      </c>
      <c r="E35" s="41" t="s">
        <v>4090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-3600000</v>
      </c>
      <c r="E36" s="41" t="s">
        <v>4091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42">
        <v>33377</v>
      </c>
      <c r="E37" s="41" t="s">
        <v>4098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ht="45" x14ac:dyDescent="0.25">
      <c r="A38" s="100"/>
      <c r="B38" s="100"/>
      <c r="C38" s="100"/>
      <c r="D38" s="118">
        <v>-2495233</v>
      </c>
      <c r="E38" s="54" t="s">
        <v>4115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3304327</v>
      </c>
      <c r="E39" s="41" t="s">
        <v>4134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10000</v>
      </c>
      <c r="E40" s="41" t="s">
        <v>4135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3000900</v>
      </c>
      <c r="E41" s="41" t="s">
        <v>4136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2760900</v>
      </c>
      <c r="E42" s="41" t="s">
        <v>4145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-500000</v>
      </c>
      <c r="E43" s="41" t="s">
        <v>4147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-200000</v>
      </c>
      <c r="E44" s="41" t="s">
        <v>1244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642064</v>
      </c>
      <c r="E45" s="41" t="s">
        <v>4156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-1000000</v>
      </c>
      <c r="E46" s="41" t="s">
        <v>4158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200000</v>
      </c>
      <c r="E47" s="41" t="s">
        <v>4159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-110000</v>
      </c>
      <c r="E48" s="41" t="s">
        <v>792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-1300000</v>
      </c>
      <c r="E49" s="41" t="s">
        <v>4174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-5000</v>
      </c>
      <c r="E50" s="41" t="s">
        <v>4174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-50000</v>
      </c>
      <c r="E51" s="41" t="s">
        <v>4179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4180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-94056</v>
      </c>
      <c r="E53" s="41" t="s">
        <v>4184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37083</v>
      </c>
      <c r="E54" s="41" t="s">
        <v>4188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-2000000</v>
      </c>
      <c r="E55" s="41" t="s">
        <v>4224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50000</v>
      </c>
      <c r="E56" s="41" t="s">
        <v>4220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/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1223</v>
      </c>
      <c r="E58" s="41" t="s">
        <v>4212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>
        <v>-604742</v>
      </c>
      <c r="E59" s="41" t="s">
        <v>4213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3405686</v>
      </c>
      <c r="E60" s="41" t="s">
        <v>4214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-33237</v>
      </c>
      <c r="E61" s="41" t="s">
        <v>4227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1660000</v>
      </c>
      <c r="E62" s="41" t="s">
        <v>4221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80000</v>
      </c>
      <c r="E63" s="41" t="s">
        <v>4237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3100000</v>
      </c>
      <c r="E64" s="41" t="s">
        <v>4243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-435500</v>
      </c>
      <c r="E65" s="41" t="s">
        <v>4244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-700000</v>
      </c>
      <c r="E66" s="41" t="s">
        <v>4245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5000000</v>
      </c>
      <c r="E67" s="41" t="s">
        <v>4255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99000</v>
      </c>
      <c r="E68" s="41" t="s">
        <v>4260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/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/>
      <c r="E72" s="41" t="s">
        <v>25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f>SUM(D33:D68)</f>
        <v>-967345</v>
      </c>
      <c r="E74" s="100" t="s">
        <v>6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/>
      <c r="E75" s="41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00"/>
      <c r="E77" s="100" t="s">
        <v>25</v>
      </c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E78" t="s">
        <v>25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F79" s="100"/>
      <c r="G79" s="100"/>
      <c r="H79" s="100"/>
      <c r="I79" s="100"/>
    </row>
    <row r="80" spans="1:20" x14ac:dyDescent="0.25">
      <c r="A80" s="100"/>
      <c r="B80" s="100"/>
      <c r="C80" s="100"/>
      <c r="E80" t="s">
        <v>25</v>
      </c>
      <c r="F80" s="100"/>
      <c r="G80" s="100"/>
      <c r="H80" s="100"/>
      <c r="I80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E201" sqref="E201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886</v>
      </c>
      <c r="H2" s="36">
        <f>IF(B2&gt;0,1,0)</f>
        <v>1</v>
      </c>
      <c r="I2" s="11">
        <f>B2*(G2-H2)</f>
        <v>14779500</v>
      </c>
      <c r="J2" s="53">
        <f>C2*(G2-H2)</f>
        <v>14779500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885</v>
      </c>
      <c r="H3" s="36">
        <f t="shared" ref="H3:H66" si="2">IF(B3&gt;0,1,0)</f>
        <v>1</v>
      </c>
      <c r="I3" s="11">
        <f t="shared" ref="I3:I66" si="3">B3*(G3-H3)</f>
        <v>17591600000</v>
      </c>
      <c r="J3" s="53">
        <f t="shared" ref="J3:J66" si="4">C3*(G3-H3)</f>
        <v>10066108000</v>
      </c>
      <c r="K3" s="53">
        <f t="shared" ref="K3:K66" si="5">D3*(G3-H3)</f>
        <v>7525492000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885</v>
      </c>
      <c r="H4" s="36">
        <f t="shared" si="2"/>
        <v>0</v>
      </c>
      <c r="I4" s="11">
        <f t="shared" si="3"/>
        <v>0</v>
      </c>
      <c r="J4" s="53">
        <f t="shared" si="4"/>
        <v>7522500</v>
      </c>
      <c r="K4" s="53">
        <f t="shared" si="5"/>
        <v>-7522500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883</v>
      </c>
      <c r="H5" s="36">
        <f t="shared" si="2"/>
        <v>1</v>
      </c>
      <c r="I5" s="11">
        <f t="shared" si="3"/>
        <v>1764000000</v>
      </c>
      <c r="J5" s="53">
        <f t="shared" si="4"/>
        <v>0</v>
      </c>
      <c r="K5" s="53">
        <f t="shared" si="5"/>
        <v>1764000000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876</v>
      </c>
      <c r="H6" s="36">
        <f t="shared" si="2"/>
        <v>0</v>
      </c>
      <c r="I6" s="11">
        <f t="shared" si="3"/>
        <v>-4380000</v>
      </c>
      <c r="J6" s="53">
        <f t="shared" si="4"/>
        <v>0</v>
      </c>
      <c r="K6" s="53">
        <f t="shared" si="5"/>
        <v>-4380000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872</v>
      </c>
      <c r="H7" s="36">
        <f t="shared" si="2"/>
        <v>0</v>
      </c>
      <c r="I7" s="11">
        <f t="shared" si="3"/>
        <v>-1046836000</v>
      </c>
      <c r="J7" s="53">
        <f t="shared" si="4"/>
        <v>0</v>
      </c>
      <c r="K7" s="53">
        <f t="shared" si="5"/>
        <v>-1046836000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871</v>
      </c>
      <c r="H8" s="36">
        <f t="shared" si="2"/>
        <v>0</v>
      </c>
      <c r="I8" s="11">
        <f t="shared" si="3"/>
        <v>-174200000</v>
      </c>
      <c r="J8" s="53">
        <f t="shared" si="4"/>
        <v>0</v>
      </c>
      <c r="K8" s="53">
        <f t="shared" si="5"/>
        <v>-174200000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869</v>
      </c>
      <c r="H9" s="36">
        <f t="shared" si="2"/>
        <v>0</v>
      </c>
      <c r="I9" s="11">
        <f t="shared" si="3"/>
        <v>-613079500</v>
      </c>
      <c r="J9" s="53">
        <f t="shared" si="4"/>
        <v>0</v>
      </c>
      <c r="K9" s="53">
        <f t="shared" si="5"/>
        <v>-613079500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860</v>
      </c>
      <c r="H10" s="36">
        <f t="shared" si="2"/>
        <v>0</v>
      </c>
      <c r="I10" s="11">
        <f t="shared" si="3"/>
        <v>-172000000</v>
      </c>
      <c r="J10" s="53">
        <f t="shared" si="4"/>
        <v>0</v>
      </c>
      <c r="K10" s="53">
        <f t="shared" si="5"/>
        <v>-172000000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860</v>
      </c>
      <c r="H11" s="36">
        <f t="shared" si="2"/>
        <v>1</v>
      </c>
      <c r="I11" s="11">
        <f t="shared" si="3"/>
        <v>859000000</v>
      </c>
      <c r="J11" s="53">
        <f t="shared" si="4"/>
        <v>0</v>
      </c>
      <c r="K11" s="53">
        <f t="shared" si="5"/>
        <v>859000000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856</v>
      </c>
      <c r="H12" s="36">
        <f t="shared" si="2"/>
        <v>0</v>
      </c>
      <c r="I12" s="11">
        <f t="shared" si="3"/>
        <v>-256800000</v>
      </c>
      <c r="J12" s="53">
        <f t="shared" si="4"/>
        <v>0</v>
      </c>
      <c r="K12" s="53">
        <f t="shared" si="5"/>
        <v>-256800000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851</v>
      </c>
      <c r="H13" s="36">
        <f t="shared" si="2"/>
        <v>0</v>
      </c>
      <c r="I13" s="11">
        <f t="shared" si="3"/>
        <v>-52762000</v>
      </c>
      <c r="J13" s="53">
        <f t="shared" si="4"/>
        <v>0</v>
      </c>
      <c r="K13" s="53">
        <f t="shared" si="5"/>
        <v>-52762000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851</v>
      </c>
      <c r="H14" s="36">
        <f t="shared" si="2"/>
        <v>1</v>
      </c>
      <c r="I14" s="11">
        <f t="shared" si="3"/>
        <v>1700000000</v>
      </c>
      <c r="J14" s="53">
        <f t="shared" si="4"/>
        <v>0</v>
      </c>
      <c r="K14" s="53">
        <f t="shared" si="5"/>
        <v>1700000000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850</v>
      </c>
      <c r="H15" s="36">
        <f t="shared" si="2"/>
        <v>1</v>
      </c>
      <c r="I15" s="11">
        <f t="shared" si="3"/>
        <v>1528200000</v>
      </c>
      <c r="J15" s="53">
        <f t="shared" si="4"/>
        <v>0</v>
      </c>
      <c r="K15" s="53">
        <f t="shared" si="5"/>
        <v>1528200000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850</v>
      </c>
      <c r="H16" s="36">
        <f t="shared" si="2"/>
        <v>0</v>
      </c>
      <c r="I16" s="11">
        <f t="shared" si="3"/>
        <v>-170000000</v>
      </c>
      <c r="J16" s="53">
        <f t="shared" si="4"/>
        <v>0</v>
      </c>
      <c r="K16" s="53">
        <f t="shared" si="5"/>
        <v>-170000000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846</v>
      </c>
      <c r="H17" s="36">
        <f t="shared" si="2"/>
        <v>0</v>
      </c>
      <c r="I17" s="11">
        <f t="shared" si="3"/>
        <v>-1692000000</v>
      </c>
      <c r="J17" s="53">
        <f t="shared" si="4"/>
        <v>0</v>
      </c>
      <c r="K17" s="53">
        <f t="shared" si="5"/>
        <v>-1692000000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845</v>
      </c>
      <c r="H18" s="36">
        <f t="shared" si="2"/>
        <v>0</v>
      </c>
      <c r="I18" s="11">
        <f t="shared" si="3"/>
        <v>-253500000</v>
      </c>
      <c r="J18" s="53">
        <f t="shared" si="4"/>
        <v>0</v>
      </c>
      <c r="K18" s="53">
        <f t="shared" si="5"/>
        <v>-253500000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844</v>
      </c>
      <c r="H19" s="36">
        <f t="shared" si="2"/>
        <v>0</v>
      </c>
      <c r="I19" s="11">
        <f t="shared" si="3"/>
        <v>-168800000</v>
      </c>
      <c r="J19" s="53">
        <f t="shared" si="4"/>
        <v>0</v>
      </c>
      <c r="K19" s="53">
        <f t="shared" si="5"/>
        <v>-168800000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842</v>
      </c>
      <c r="H20" s="36">
        <f t="shared" si="2"/>
        <v>1</v>
      </c>
      <c r="I20" s="11">
        <f t="shared" si="3"/>
        <v>227985849</v>
      </c>
      <c r="J20" s="53">
        <f t="shared" si="4"/>
        <v>124007132</v>
      </c>
      <c r="K20" s="53">
        <f t="shared" si="5"/>
        <v>103978717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840</v>
      </c>
      <c r="H21" s="36">
        <f t="shared" si="2"/>
        <v>0</v>
      </c>
      <c r="I21" s="11">
        <f t="shared" si="3"/>
        <v>-1264788000</v>
      </c>
      <c r="J21" s="53">
        <f t="shared" si="4"/>
        <v>0</v>
      </c>
      <c r="K21" s="53">
        <f t="shared" si="5"/>
        <v>-1264788000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837</v>
      </c>
      <c r="H22" s="36">
        <f t="shared" si="2"/>
        <v>1</v>
      </c>
      <c r="I22" s="11">
        <f t="shared" si="3"/>
        <v>2508000000</v>
      </c>
      <c r="J22" s="53">
        <f t="shared" si="4"/>
        <v>0</v>
      </c>
      <c r="K22" s="53">
        <f t="shared" si="5"/>
        <v>2508000000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836</v>
      </c>
      <c r="H23" s="36">
        <f t="shared" si="2"/>
        <v>1</v>
      </c>
      <c r="I23" s="11">
        <f t="shared" si="3"/>
        <v>835000000</v>
      </c>
      <c r="J23" s="53">
        <f t="shared" si="4"/>
        <v>0</v>
      </c>
      <c r="K23" s="53">
        <f t="shared" si="5"/>
        <v>835000000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835</v>
      </c>
      <c r="H24" s="36">
        <f t="shared" si="2"/>
        <v>0</v>
      </c>
      <c r="I24" s="11">
        <f t="shared" si="3"/>
        <v>-2505751500</v>
      </c>
      <c r="J24" s="53">
        <f t="shared" si="4"/>
        <v>0</v>
      </c>
      <c r="K24" s="53">
        <f t="shared" si="5"/>
        <v>-2505751500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820</v>
      </c>
      <c r="H25" s="36">
        <f t="shared" si="2"/>
        <v>1</v>
      </c>
      <c r="I25" s="11">
        <f t="shared" si="3"/>
        <v>1228500000</v>
      </c>
      <c r="J25" s="53">
        <f t="shared" si="4"/>
        <v>0</v>
      </c>
      <c r="K25" s="53">
        <f t="shared" si="5"/>
        <v>1228500000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812</v>
      </c>
      <c r="H26" s="36">
        <f t="shared" si="2"/>
        <v>0</v>
      </c>
      <c r="I26" s="11">
        <f t="shared" si="3"/>
        <v>-133168000</v>
      </c>
      <c r="J26" s="53">
        <f t="shared" si="4"/>
        <v>0</v>
      </c>
      <c r="K26" s="53">
        <f t="shared" si="5"/>
        <v>-133168000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811</v>
      </c>
      <c r="H27" s="36">
        <f t="shared" si="2"/>
        <v>1</v>
      </c>
      <c r="I27" s="11">
        <f t="shared" si="3"/>
        <v>161508330</v>
      </c>
      <c r="J27" s="53">
        <f t="shared" si="4"/>
        <v>87004530</v>
      </c>
      <c r="K27" s="53">
        <f t="shared" si="5"/>
        <v>74503800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809</v>
      </c>
      <c r="H28" s="36">
        <f t="shared" si="2"/>
        <v>0</v>
      </c>
      <c r="I28" s="11">
        <f t="shared" si="3"/>
        <v>-178789000</v>
      </c>
      <c r="J28" s="53">
        <f t="shared" si="4"/>
        <v>-178789000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809</v>
      </c>
      <c r="H29" s="36">
        <f t="shared" si="2"/>
        <v>0</v>
      </c>
      <c r="I29" s="11">
        <f t="shared" si="3"/>
        <v>-404904500</v>
      </c>
      <c r="J29" s="53">
        <f t="shared" si="4"/>
        <v>0</v>
      </c>
      <c r="K29" s="53">
        <f t="shared" si="5"/>
        <v>-404904500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809</v>
      </c>
      <c r="H30" s="36">
        <f t="shared" si="2"/>
        <v>0</v>
      </c>
      <c r="I30" s="11">
        <f t="shared" si="3"/>
        <v>-12135000000</v>
      </c>
      <c r="J30" s="53">
        <f t="shared" si="4"/>
        <v>-12135000000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792</v>
      </c>
      <c r="H31" s="36">
        <f t="shared" si="2"/>
        <v>0</v>
      </c>
      <c r="I31" s="11">
        <f t="shared" si="3"/>
        <v>-2384632800</v>
      </c>
      <c r="J31" s="53">
        <f t="shared" si="4"/>
        <v>0</v>
      </c>
      <c r="K31" s="53">
        <f t="shared" si="5"/>
        <v>-2384632800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790</v>
      </c>
      <c r="H32" s="36">
        <f t="shared" si="2"/>
        <v>0</v>
      </c>
      <c r="I32" s="11">
        <f t="shared" si="3"/>
        <v>-2374661000</v>
      </c>
      <c r="J32" s="53">
        <f t="shared" si="4"/>
        <v>0</v>
      </c>
      <c r="K32" s="53">
        <f t="shared" si="5"/>
        <v>-2374661000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789</v>
      </c>
      <c r="H33" s="36">
        <f t="shared" si="2"/>
        <v>0</v>
      </c>
      <c r="I33" s="11">
        <f t="shared" si="3"/>
        <v>-706549500</v>
      </c>
      <c r="J33" s="53">
        <f t="shared" si="4"/>
        <v>0</v>
      </c>
      <c r="K33" s="53">
        <f t="shared" si="5"/>
        <v>-706549500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789</v>
      </c>
      <c r="H34" s="36">
        <f t="shared" si="2"/>
        <v>0</v>
      </c>
      <c r="I34" s="11">
        <f t="shared" si="3"/>
        <v>0</v>
      </c>
      <c r="J34" s="53">
        <f t="shared" si="4"/>
        <v>789000000</v>
      </c>
      <c r="K34" s="53">
        <f t="shared" si="5"/>
        <v>-789000000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780</v>
      </c>
      <c r="H35" s="36">
        <f t="shared" si="2"/>
        <v>1</v>
      </c>
      <c r="I35" s="11">
        <f t="shared" si="3"/>
        <v>40875688</v>
      </c>
      <c r="J35" s="53">
        <f t="shared" si="4"/>
        <v>-16875477</v>
      </c>
      <c r="K35" s="53">
        <f t="shared" si="5"/>
        <v>57751165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780</v>
      </c>
      <c r="H36" s="36">
        <f t="shared" si="2"/>
        <v>0</v>
      </c>
      <c r="I36" s="11">
        <f t="shared" si="3"/>
        <v>0</v>
      </c>
      <c r="J36" s="53">
        <f t="shared" si="4"/>
        <v>16897140</v>
      </c>
      <c r="K36" s="53">
        <f t="shared" si="5"/>
        <v>-16897140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770</v>
      </c>
      <c r="H37" s="36">
        <f t="shared" si="2"/>
        <v>0</v>
      </c>
      <c r="I37" s="11">
        <f t="shared" si="3"/>
        <v>-42350000</v>
      </c>
      <c r="J37" s="53">
        <f t="shared" si="4"/>
        <v>0</v>
      </c>
      <c r="K37" s="53">
        <f t="shared" si="5"/>
        <v>-42350000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769</v>
      </c>
      <c r="H38" s="36">
        <f t="shared" si="2"/>
        <v>1</v>
      </c>
      <c r="I38" s="11">
        <f t="shared" si="3"/>
        <v>2304000000</v>
      </c>
      <c r="J38" s="53">
        <f t="shared" si="4"/>
        <v>2304000000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768</v>
      </c>
      <c r="H39" s="36">
        <f t="shared" si="2"/>
        <v>1</v>
      </c>
      <c r="I39" s="11">
        <f t="shared" si="3"/>
        <v>1917500000</v>
      </c>
      <c r="J39" s="53">
        <f t="shared" si="4"/>
        <v>1917500000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768</v>
      </c>
      <c r="H40" s="36">
        <f t="shared" si="2"/>
        <v>0</v>
      </c>
      <c r="I40" s="11">
        <f t="shared" si="3"/>
        <v>-38400000</v>
      </c>
      <c r="J40" s="53">
        <f t="shared" si="4"/>
        <v>0</v>
      </c>
      <c r="K40" s="53">
        <f t="shared" si="5"/>
        <v>-38400000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768</v>
      </c>
      <c r="H41" s="36">
        <f t="shared" si="2"/>
        <v>1</v>
      </c>
      <c r="I41" s="11">
        <f t="shared" si="3"/>
        <v>2301000000</v>
      </c>
      <c r="J41" s="53">
        <f t="shared" si="4"/>
        <v>0</v>
      </c>
      <c r="K41" s="53">
        <f t="shared" si="5"/>
        <v>2301000000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765</v>
      </c>
      <c r="H42" s="36">
        <f t="shared" si="2"/>
        <v>0</v>
      </c>
      <c r="I42" s="11">
        <f t="shared" si="3"/>
        <v>-68238000</v>
      </c>
      <c r="J42" s="53">
        <f t="shared" si="4"/>
        <v>0</v>
      </c>
      <c r="K42" s="53">
        <f t="shared" si="5"/>
        <v>-68238000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761</v>
      </c>
      <c r="H43" s="36">
        <f t="shared" si="2"/>
        <v>0</v>
      </c>
      <c r="I43" s="11">
        <f t="shared" si="3"/>
        <v>-152200000</v>
      </c>
      <c r="J43" s="53">
        <f t="shared" si="4"/>
        <v>0</v>
      </c>
      <c r="K43" s="53">
        <f t="shared" si="5"/>
        <v>-152200000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759</v>
      </c>
      <c r="H44" s="36">
        <f t="shared" si="2"/>
        <v>0</v>
      </c>
      <c r="I44" s="11">
        <f t="shared" si="3"/>
        <v>-151800000</v>
      </c>
      <c r="J44" s="53">
        <f t="shared" si="4"/>
        <v>0</v>
      </c>
      <c r="K44" s="53">
        <f t="shared" si="5"/>
        <v>-151800000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759</v>
      </c>
      <c r="H45" s="36">
        <f t="shared" si="2"/>
        <v>0</v>
      </c>
      <c r="I45" s="11">
        <f t="shared" si="3"/>
        <v>-425040000</v>
      </c>
      <c r="J45" s="53">
        <f t="shared" si="4"/>
        <v>0</v>
      </c>
      <c r="K45" s="53">
        <f t="shared" si="5"/>
        <v>-425040000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755</v>
      </c>
      <c r="H46" s="36">
        <f t="shared" si="2"/>
        <v>0</v>
      </c>
      <c r="I46" s="11">
        <f t="shared" si="3"/>
        <v>-532652500</v>
      </c>
      <c r="J46" s="53">
        <f t="shared" si="4"/>
        <v>0</v>
      </c>
      <c r="K46" s="53">
        <f t="shared" si="5"/>
        <v>-532652500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749</v>
      </c>
      <c r="H47" s="36">
        <f t="shared" si="2"/>
        <v>1</v>
      </c>
      <c r="I47" s="11">
        <f t="shared" si="3"/>
        <v>30820592</v>
      </c>
      <c r="J47" s="53">
        <f t="shared" si="4"/>
        <v>5021324</v>
      </c>
      <c r="K47" s="53">
        <f t="shared" si="5"/>
        <v>25799268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749</v>
      </c>
      <c r="H48" s="36">
        <f t="shared" si="2"/>
        <v>1</v>
      </c>
      <c r="I48" s="11">
        <f t="shared" si="3"/>
        <v>1275115600</v>
      </c>
      <c r="J48" s="53">
        <f t="shared" si="4"/>
        <v>0</v>
      </c>
      <c r="K48" s="53">
        <f t="shared" si="5"/>
        <v>1275115600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740</v>
      </c>
      <c r="H49" s="36">
        <f t="shared" si="2"/>
        <v>0</v>
      </c>
      <c r="I49" s="11">
        <f t="shared" si="3"/>
        <v>-114700000</v>
      </c>
      <c r="J49" s="53">
        <f t="shared" si="4"/>
        <v>0</v>
      </c>
      <c r="K49" s="53">
        <f t="shared" si="5"/>
        <v>-114700000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740</v>
      </c>
      <c r="H50" s="36">
        <f t="shared" si="2"/>
        <v>0</v>
      </c>
      <c r="I50" s="11">
        <f t="shared" si="3"/>
        <v>-102120000</v>
      </c>
      <c r="J50" s="53">
        <f t="shared" si="4"/>
        <v>0</v>
      </c>
      <c r="K50" s="53">
        <f t="shared" si="5"/>
        <v>-102120000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740</v>
      </c>
      <c r="H51" s="36">
        <f t="shared" si="2"/>
        <v>0</v>
      </c>
      <c r="I51" s="11">
        <f t="shared" si="3"/>
        <v>-547600000</v>
      </c>
      <c r="J51" s="53">
        <f t="shared" si="4"/>
        <v>0</v>
      </c>
      <c r="K51" s="53">
        <f t="shared" si="5"/>
        <v>-547600000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740</v>
      </c>
      <c r="H52" s="36">
        <f t="shared" si="2"/>
        <v>0</v>
      </c>
      <c r="I52" s="11">
        <f t="shared" si="3"/>
        <v>-148000000</v>
      </c>
      <c r="J52" s="53">
        <f t="shared" si="4"/>
        <v>0</v>
      </c>
      <c r="K52" s="53">
        <f t="shared" si="5"/>
        <v>-148000000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739</v>
      </c>
      <c r="H53" s="36">
        <f t="shared" si="2"/>
        <v>0</v>
      </c>
      <c r="I53" s="11">
        <f t="shared" si="3"/>
        <v>-779645000</v>
      </c>
      <c r="J53" s="53">
        <f t="shared" si="4"/>
        <v>0</v>
      </c>
      <c r="K53" s="53">
        <f t="shared" si="5"/>
        <v>-779645000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739</v>
      </c>
      <c r="H54" s="36">
        <f t="shared" si="2"/>
        <v>0</v>
      </c>
      <c r="I54" s="11">
        <f t="shared" si="3"/>
        <v>-147800000</v>
      </c>
      <c r="J54" s="53">
        <f t="shared" si="4"/>
        <v>0</v>
      </c>
      <c r="K54" s="53">
        <f t="shared" si="5"/>
        <v>-147800000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739</v>
      </c>
      <c r="H55" s="36">
        <f t="shared" si="2"/>
        <v>0</v>
      </c>
      <c r="I55" s="11">
        <f t="shared" si="3"/>
        <v>-739369500</v>
      </c>
      <c r="J55" s="53">
        <f t="shared" si="4"/>
        <v>0</v>
      </c>
      <c r="K55" s="53">
        <f t="shared" si="5"/>
        <v>-739369500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739</v>
      </c>
      <c r="H56" s="36">
        <f t="shared" si="2"/>
        <v>0</v>
      </c>
      <c r="I56" s="11">
        <f t="shared" si="3"/>
        <v>-28082000</v>
      </c>
      <c r="J56" s="53">
        <f t="shared" si="4"/>
        <v>0</v>
      </c>
      <c r="K56" s="53">
        <f t="shared" si="5"/>
        <v>-28082000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739</v>
      </c>
      <c r="H57" s="36">
        <f t="shared" si="2"/>
        <v>0</v>
      </c>
      <c r="I57" s="11">
        <f t="shared" si="3"/>
        <v>-77595000</v>
      </c>
      <c r="J57" s="53">
        <f t="shared" si="4"/>
        <v>0</v>
      </c>
      <c r="K57" s="53">
        <f t="shared" si="5"/>
        <v>-77595000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739</v>
      </c>
      <c r="H58" s="36">
        <f t="shared" si="2"/>
        <v>0</v>
      </c>
      <c r="I58" s="11">
        <f t="shared" si="3"/>
        <v>-44340000</v>
      </c>
      <c r="J58" s="53">
        <f t="shared" si="4"/>
        <v>0</v>
      </c>
      <c r="K58" s="53">
        <f t="shared" si="5"/>
        <v>-44340000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736</v>
      </c>
      <c r="H59" s="36">
        <f t="shared" si="2"/>
        <v>1</v>
      </c>
      <c r="I59" s="11">
        <f t="shared" si="3"/>
        <v>735000000</v>
      </c>
      <c r="J59" s="53">
        <f t="shared" si="4"/>
        <v>735000000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735</v>
      </c>
      <c r="H60" s="36">
        <f t="shared" si="2"/>
        <v>1</v>
      </c>
      <c r="I60" s="11">
        <f t="shared" si="3"/>
        <v>2569000000</v>
      </c>
      <c r="J60" s="53">
        <f t="shared" si="4"/>
        <v>2569000000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733</v>
      </c>
      <c r="H61" s="36">
        <f t="shared" si="2"/>
        <v>1</v>
      </c>
      <c r="I61" s="11">
        <f t="shared" si="3"/>
        <v>732000000</v>
      </c>
      <c r="J61" s="53">
        <f t="shared" si="4"/>
        <v>732000000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733</v>
      </c>
      <c r="H62" s="36">
        <f t="shared" si="2"/>
        <v>1</v>
      </c>
      <c r="I62" s="11">
        <f t="shared" si="3"/>
        <v>2196000000</v>
      </c>
      <c r="J62" s="53">
        <f t="shared" si="4"/>
        <v>2196000000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731</v>
      </c>
      <c r="H63" s="36">
        <f t="shared" si="2"/>
        <v>0</v>
      </c>
      <c r="I63" s="11">
        <f t="shared" si="3"/>
        <v>-146200000</v>
      </c>
      <c r="J63" s="53">
        <f t="shared" si="4"/>
        <v>0</v>
      </c>
      <c r="K63" s="53">
        <f t="shared" si="5"/>
        <v>-146200000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726</v>
      </c>
      <c r="H64" s="36">
        <f t="shared" si="2"/>
        <v>0</v>
      </c>
      <c r="I64" s="11">
        <f t="shared" si="3"/>
        <v>-36300000</v>
      </c>
      <c r="J64" s="53">
        <f t="shared" si="4"/>
        <v>0</v>
      </c>
      <c r="K64" s="53">
        <f t="shared" si="5"/>
        <v>-36300000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722</v>
      </c>
      <c r="H65" s="36">
        <f t="shared" si="2"/>
        <v>0</v>
      </c>
      <c r="I65" s="11">
        <f t="shared" si="3"/>
        <v>-144400000</v>
      </c>
      <c r="J65" s="53">
        <f t="shared" si="4"/>
        <v>0</v>
      </c>
      <c r="K65" s="53">
        <f t="shared" si="5"/>
        <v>-144400000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719</v>
      </c>
      <c r="H66" s="36">
        <f t="shared" si="2"/>
        <v>0</v>
      </c>
      <c r="I66" s="11">
        <f t="shared" si="3"/>
        <v>-122230000</v>
      </c>
      <c r="J66" s="53">
        <f t="shared" si="4"/>
        <v>0</v>
      </c>
      <c r="K66" s="53">
        <f t="shared" si="5"/>
        <v>-122230000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718</v>
      </c>
      <c r="H67" s="36">
        <f t="shared" ref="H67:H131" si="8">IF(B67&gt;0,1,0)</f>
        <v>1</v>
      </c>
      <c r="I67" s="11">
        <f t="shared" ref="I67:I119" si="9">B67*(G67-H67)</f>
        <v>65480025</v>
      </c>
      <c r="J67" s="53">
        <f t="shared" ref="J67:J131" si="10">C67*(G67-H67)</f>
        <v>47123391</v>
      </c>
      <c r="K67" s="53">
        <f t="shared" ref="K67:K131" si="11">D67*(G67-H67)</f>
        <v>18356634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700</v>
      </c>
      <c r="H68" s="36">
        <f t="shared" si="8"/>
        <v>0</v>
      </c>
      <c r="I68" s="11">
        <f t="shared" si="9"/>
        <v>-101500000</v>
      </c>
      <c r="J68" s="53">
        <f t="shared" si="10"/>
        <v>0</v>
      </c>
      <c r="K68" s="53">
        <f t="shared" si="11"/>
        <v>-101500000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693</v>
      </c>
      <c r="H69" s="36">
        <f t="shared" si="8"/>
        <v>1</v>
      </c>
      <c r="I69" s="11">
        <f t="shared" si="9"/>
        <v>678160000</v>
      </c>
      <c r="J69" s="53">
        <f t="shared" si="10"/>
        <v>0</v>
      </c>
      <c r="K69" s="53">
        <f t="shared" si="11"/>
        <v>678160000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690</v>
      </c>
      <c r="H70" s="36">
        <f t="shared" si="8"/>
        <v>0</v>
      </c>
      <c r="I70" s="11">
        <f t="shared" si="9"/>
        <v>-31740000</v>
      </c>
      <c r="J70" s="53">
        <f t="shared" si="10"/>
        <v>0</v>
      </c>
      <c r="K70" s="53">
        <f t="shared" si="11"/>
        <v>-31740000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688</v>
      </c>
      <c r="H71" s="36">
        <f t="shared" si="8"/>
        <v>1</v>
      </c>
      <c r="I71" s="11">
        <f t="shared" si="9"/>
        <v>79237206</v>
      </c>
      <c r="J71" s="53">
        <f t="shared" si="10"/>
        <v>71318844</v>
      </c>
      <c r="K71" s="53">
        <f t="shared" si="11"/>
        <v>7918362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687</v>
      </c>
      <c r="H72" s="36">
        <f t="shared" si="8"/>
        <v>0</v>
      </c>
      <c r="I72" s="11">
        <f t="shared" si="9"/>
        <v>-104402703</v>
      </c>
      <c r="J72" s="53">
        <f t="shared" si="10"/>
        <v>0</v>
      </c>
      <c r="K72" s="53">
        <f t="shared" si="11"/>
        <v>-104402703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686</v>
      </c>
      <c r="H73" s="36">
        <f t="shared" si="8"/>
        <v>0</v>
      </c>
      <c r="I73" s="11">
        <f t="shared" si="9"/>
        <v>-552573000</v>
      </c>
      <c r="J73" s="53">
        <f t="shared" si="10"/>
        <v>0</v>
      </c>
      <c r="K73" s="53">
        <f t="shared" si="11"/>
        <v>-552573000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679</v>
      </c>
      <c r="H74" s="36">
        <f t="shared" si="8"/>
        <v>1</v>
      </c>
      <c r="I74" s="11">
        <f t="shared" si="9"/>
        <v>4742610000</v>
      </c>
      <c r="J74" s="53">
        <f t="shared" si="10"/>
        <v>0</v>
      </c>
      <c r="K74" s="53">
        <f t="shared" si="11"/>
        <v>4742610000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678</v>
      </c>
      <c r="H75" s="36">
        <f t="shared" si="8"/>
        <v>1</v>
      </c>
      <c r="I75" s="11">
        <f t="shared" si="9"/>
        <v>2031000000</v>
      </c>
      <c r="J75" s="53">
        <f t="shared" si="10"/>
        <v>0</v>
      </c>
      <c r="K75" s="53">
        <f t="shared" si="11"/>
        <v>2031000000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676</v>
      </c>
      <c r="H76" s="36">
        <f t="shared" si="8"/>
        <v>1</v>
      </c>
      <c r="I76" s="11">
        <f t="shared" si="9"/>
        <v>2025000000</v>
      </c>
      <c r="J76" s="53">
        <f t="shared" si="10"/>
        <v>0</v>
      </c>
      <c r="K76" s="53">
        <f t="shared" si="11"/>
        <v>2025000000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675</v>
      </c>
      <c r="H77" s="36">
        <f t="shared" si="8"/>
        <v>1</v>
      </c>
      <c r="I77" s="11">
        <f t="shared" si="9"/>
        <v>2022000000</v>
      </c>
      <c r="J77" s="53">
        <f t="shared" si="10"/>
        <v>0</v>
      </c>
      <c r="K77" s="53">
        <f t="shared" si="11"/>
        <v>2022000000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674</v>
      </c>
      <c r="H78" s="36">
        <f t="shared" si="8"/>
        <v>0</v>
      </c>
      <c r="I78" s="11">
        <f t="shared" si="9"/>
        <v>-2156800000</v>
      </c>
      <c r="J78" s="53">
        <f t="shared" si="10"/>
        <v>-2156800000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673</v>
      </c>
      <c r="H79" s="36">
        <f t="shared" si="8"/>
        <v>0</v>
      </c>
      <c r="I79" s="11">
        <f t="shared" si="9"/>
        <v>-538400000</v>
      </c>
      <c r="J79" s="53">
        <f t="shared" si="10"/>
        <v>-538400000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672</v>
      </c>
      <c r="H80" s="36">
        <f t="shared" si="8"/>
        <v>0</v>
      </c>
      <c r="I80" s="11">
        <f t="shared" si="9"/>
        <v>-32520096</v>
      </c>
      <c r="J80" s="53">
        <f t="shared" si="10"/>
        <v>0</v>
      </c>
      <c r="K80" s="53">
        <f t="shared" si="11"/>
        <v>-32520096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671</v>
      </c>
      <c r="H81" s="36">
        <f t="shared" si="8"/>
        <v>0</v>
      </c>
      <c r="I81" s="11">
        <f t="shared" si="9"/>
        <v>-93940000</v>
      </c>
      <c r="J81" s="53">
        <f t="shared" si="10"/>
        <v>0</v>
      </c>
      <c r="K81" s="53">
        <f t="shared" si="11"/>
        <v>-93940000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670</v>
      </c>
      <c r="H82" s="36">
        <f t="shared" si="8"/>
        <v>0</v>
      </c>
      <c r="I82" s="11">
        <f t="shared" si="9"/>
        <v>-167500000</v>
      </c>
      <c r="J82" s="53">
        <f t="shared" si="10"/>
        <v>0</v>
      </c>
      <c r="K82" s="53">
        <f t="shared" si="11"/>
        <v>-167500000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669</v>
      </c>
      <c r="H83" s="36">
        <f t="shared" si="8"/>
        <v>0</v>
      </c>
      <c r="I83" s="11">
        <f t="shared" si="9"/>
        <v>-133800000</v>
      </c>
      <c r="J83" s="53">
        <f t="shared" si="10"/>
        <v>0</v>
      </c>
      <c r="K83" s="53">
        <f t="shared" si="11"/>
        <v>-133800000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666</v>
      </c>
      <c r="H84" s="36">
        <f t="shared" si="8"/>
        <v>1</v>
      </c>
      <c r="I84" s="11">
        <f t="shared" si="9"/>
        <v>1087408000</v>
      </c>
      <c r="J84" s="53">
        <f t="shared" si="10"/>
        <v>0</v>
      </c>
      <c r="K84" s="53">
        <f t="shared" si="11"/>
        <v>1087408000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662</v>
      </c>
      <c r="H85" s="36">
        <f t="shared" si="8"/>
        <v>1</v>
      </c>
      <c r="I85" s="11">
        <f t="shared" si="9"/>
        <v>1652500000</v>
      </c>
      <c r="J85" s="53">
        <f t="shared" si="10"/>
        <v>0</v>
      </c>
      <c r="K85" s="53">
        <f t="shared" si="11"/>
        <v>1652500000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658</v>
      </c>
      <c r="H86" s="36">
        <f t="shared" si="8"/>
        <v>1</v>
      </c>
      <c r="I86" s="11">
        <f t="shared" si="9"/>
        <v>122399100</v>
      </c>
      <c r="J86" s="53">
        <f t="shared" si="10"/>
        <v>55812150</v>
      </c>
      <c r="K86" s="53">
        <f t="shared" si="11"/>
        <v>66586950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655</v>
      </c>
      <c r="H87" s="36">
        <f t="shared" si="8"/>
        <v>0</v>
      </c>
      <c r="I87" s="11">
        <f t="shared" si="9"/>
        <v>-131000000</v>
      </c>
      <c r="J87" s="53">
        <f t="shared" si="10"/>
        <v>0</v>
      </c>
      <c r="K87" s="53">
        <f t="shared" si="11"/>
        <v>-131000000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654</v>
      </c>
      <c r="H88" s="36">
        <f t="shared" si="8"/>
        <v>0</v>
      </c>
      <c r="I88" s="11">
        <f t="shared" si="9"/>
        <v>-77172000</v>
      </c>
      <c r="J88" s="53">
        <f t="shared" si="10"/>
        <v>-45126000</v>
      </c>
      <c r="K88" s="53">
        <f t="shared" si="11"/>
        <v>-32046000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646</v>
      </c>
      <c r="H89" s="36">
        <f t="shared" si="8"/>
        <v>0</v>
      </c>
      <c r="I89" s="11">
        <f t="shared" si="9"/>
        <v>-2067781400</v>
      </c>
      <c r="J89" s="53">
        <f t="shared" si="10"/>
        <v>0</v>
      </c>
      <c r="K89" s="53">
        <f t="shared" si="11"/>
        <v>-2067781400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645</v>
      </c>
      <c r="H90" s="36">
        <f t="shared" si="8"/>
        <v>0</v>
      </c>
      <c r="I90" s="11">
        <f t="shared" si="9"/>
        <v>-2064580500</v>
      </c>
      <c r="J90" s="53">
        <f t="shared" si="10"/>
        <v>0</v>
      </c>
      <c r="K90" s="53">
        <f t="shared" si="11"/>
        <v>-2064580500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644</v>
      </c>
      <c r="H91" s="36">
        <f t="shared" si="8"/>
        <v>0</v>
      </c>
      <c r="I91" s="11">
        <f t="shared" si="9"/>
        <v>-2061379600</v>
      </c>
      <c r="J91" s="53">
        <f t="shared" si="10"/>
        <v>0</v>
      </c>
      <c r="K91" s="53">
        <f t="shared" si="11"/>
        <v>-2061379600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643</v>
      </c>
      <c r="H92" s="36">
        <f t="shared" si="8"/>
        <v>0</v>
      </c>
      <c r="I92" s="11">
        <f t="shared" si="9"/>
        <v>-2058178700</v>
      </c>
      <c r="J92" s="53">
        <f t="shared" si="10"/>
        <v>0</v>
      </c>
      <c r="K92" s="53">
        <f t="shared" si="11"/>
        <v>-2058178700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642</v>
      </c>
      <c r="H93" s="36">
        <f t="shared" si="8"/>
        <v>0</v>
      </c>
      <c r="I93" s="11">
        <f t="shared" si="9"/>
        <v>-2054977800</v>
      </c>
      <c r="J93" s="53">
        <f t="shared" si="10"/>
        <v>0</v>
      </c>
      <c r="K93" s="53">
        <f t="shared" si="11"/>
        <v>-2054977800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641</v>
      </c>
      <c r="H94" s="36">
        <f t="shared" si="8"/>
        <v>0</v>
      </c>
      <c r="I94" s="11">
        <f t="shared" si="9"/>
        <v>-2051776900</v>
      </c>
      <c r="J94" s="53">
        <f t="shared" si="10"/>
        <v>0</v>
      </c>
      <c r="K94" s="53">
        <f t="shared" si="11"/>
        <v>-2051776900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639</v>
      </c>
      <c r="H95" s="36">
        <f t="shared" si="8"/>
        <v>0</v>
      </c>
      <c r="I95" s="11">
        <f t="shared" si="9"/>
        <v>-764624844</v>
      </c>
      <c r="J95" s="53">
        <f t="shared" si="10"/>
        <v>0</v>
      </c>
      <c r="K95" s="53">
        <f t="shared" si="11"/>
        <v>-764624844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629</v>
      </c>
      <c r="H96" s="36">
        <f t="shared" si="8"/>
        <v>0</v>
      </c>
      <c r="I96" s="11">
        <f t="shared" si="9"/>
        <v>-125800000</v>
      </c>
      <c r="J96" s="53">
        <f t="shared" si="10"/>
        <v>0</v>
      </c>
      <c r="K96" s="53">
        <f t="shared" si="11"/>
        <v>-125800000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628</v>
      </c>
      <c r="H97" s="36">
        <f t="shared" si="8"/>
        <v>1</v>
      </c>
      <c r="I97" s="11">
        <f t="shared" si="9"/>
        <v>100042866</v>
      </c>
      <c r="J97" s="53">
        <f t="shared" si="10"/>
        <v>43216602</v>
      </c>
      <c r="K97" s="53">
        <f t="shared" si="11"/>
        <v>56826264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623</v>
      </c>
      <c r="H98" s="36">
        <f t="shared" si="8"/>
        <v>1</v>
      </c>
      <c r="I98" s="11">
        <f t="shared" si="9"/>
        <v>71136896</v>
      </c>
      <c r="J98" s="53">
        <f t="shared" si="10"/>
        <v>0</v>
      </c>
      <c r="K98" s="53">
        <f t="shared" si="11"/>
        <v>71136896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620</v>
      </c>
      <c r="H99" s="36">
        <f t="shared" si="8"/>
        <v>0</v>
      </c>
      <c r="I99" s="11">
        <f t="shared" si="9"/>
        <v>-821500000</v>
      </c>
      <c r="J99" s="53">
        <f t="shared" si="10"/>
        <v>0</v>
      </c>
      <c r="K99" s="53">
        <f t="shared" si="11"/>
        <v>-821500000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615</v>
      </c>
      <c r="H100" s="36">
        <f t="shared" si="8"/>
        <v>1</v>
      </c>
      <c r="I100" s="11">
        <f t="shared" si="9"/>
        <v>813550000</v>
      </c>
      <c r="J100" s="53">
        <f t="shared" si="10"/>
        <v>0</v>
      </c>
      <c r="K100" s="53">
        <f t="shared" si="11"/>
        <v>813550000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598</v>
      </c>
      <c r="H101" s="36">
        <f t="shared" si="8"/>
        <v>1</v>
      </c>
      <c r="I101" s="11">
        <f t="shared" si="9"/>
        <v>39906465</v>
      </c>
      <c r="J101" s="53">
        <f t="shared" si="10"/>
        <v>39906465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595</v>
      </c>
      <c r="H102" s="36">
        <f t="shared" si="8"/>
        <v>1</v>
      </c>
      <c r="I102" s="11">
        <f t="shared" si="9"/>
        <v>1782000000</v>
      </c>
      <c r="J102" s="53">
        <f t="shared" si="10"/>
        <v>0</v>
      </c>
      <c r="K102" s="53">
        <f t="shared" si="11"/>
        <v>1782000000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588</v>
      </c>
      <c r="H103" s="36">
        <f t="shared" si="8"/>
        <v>0</v>
      </c>
      <c r="I103" s="11">
        <f t="shared" si="9"/>
        <v>-588000000</v>
      </c>
      <c r="J103" s="53">
        <f t="shared" si="10"/>
        <v>-588000000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578</v>
      </c>
      <c r="H104" s="36">
        <f t="shared" si="8"/>
        <v>1</v>
      </c>
      <c r="I104" s="11">
        <f t="shared" si="9"/>
        <v>1731000000</v>
      </c>
      <c r="J104" s="53">
        <f t="shared" si="10"/>
        <v>1731000000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577</v>
      </c>
      <c r="H105" s="36">
        <f t="shared" si="8"/>
        <v>1</v>
      </c>
      <c r="I105" s="11">
        <f t="shared" si="9"/>
        <v>645120000</v>
      </c>
      <c r="J105" s="53">
        <f t="shared" si="10"/>
        <v>645120000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577</v>
      </c>
      <c r="H106" s="36">
        <f t="shared" si="8"/>
        <v>0</v>
      </c>
      <c r="I106" s="11">
        <f t="shared" si="9"/>
        <v>-1731000000</v>
      </c>
      <c r="J106" s="53">
        <f t="shared" si="10"/>
        <v>0</v>
      </c>
      <c r="K106" s="53">
        <f t="shared" si="11"/>
        <v>-1731000000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568</v>
      </c>
      <c r="H107" s="36">
        <f t="shared" si="8"/>
        <v>1</v>
      </c>
      <c r="I107" s="11">
        <f t="shared" si="9"/>
        <v>51310098</v>
      </c>
      <c r="J107" s="53">
        <f t="shared" si="10"/>
        <v>42590205</v>
      </c>
      <c r="K107" s="53">
        <f t="shared" si="11"/>
        <v>8719893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566</v>
      </c>
      <c r="H108" s="36">
        <f t="shared" si="8"/>
        <v>0</v>
      </c>
      <c r="I108" s="11">
        <f t="shared" si="9"/>
        <v>-962596200</v>
      </c>
      <c r="J108" s="53">
        <f t="shared" si="10"/>
        <v>0</v>
      </c>
      <c r="K108" s="53">
        <f t="shared" si="11"/>
        <v>-962596200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562</v>
      </c>
      <c r="H109" s="36">
        <f t="shared" si="8"/>
        <v>0</v>
      </c>
      <c r="I109" s="11">
        <f t="shared" si="9"/>
        <v>-562281000</v>
      </c>
      <c r="J109" s="53">
        <f t="shared" si="10"/>
        <v>0</v>
      </c>
      <c r="K109" s="53">
        <f t="shared" si="11"/>
        <v>-562281000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559</v>
      </c>
      <c r="H110" s="36">
        <f t="shared" si="8"/>
        <v>1</v>
      </c>
      <c r="I110" s="11">
        <f t="shared" si="9"/>
        <v>11160000000</v>
      </c>
      <c r="J110" s="53">
        <f t="shared" si="10"/>
        <v>0</v>
      </c>
      <c r="K110" s="53">
        <f t="shared" si="11"/>
        <v>11160000000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539</v>
      </c>
      <c r="H111" s="36">
        <f t="shared" si="8"/>
        <v>1</v>
      </c>
      <c r="I111" s="11">
        <f t="shared" si="9"/>
        <v>93976764</v>
      </c>
      <c r="J111" s="53">
        <f t="shared" si="10"/>
        <v>47001294</v>
      </c>
      <c r="K111" s="53">
        <f t="shared" si="11"/>
        <v>46975470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523</v>
      </c>
      <c r="H112" s="36">
        <f t="shared" si="8"/>
        <v>0</v>
      </c>
      <c r="I112" s="11">
        <f t="shared" si="9"/>
        <v>-14853200000</v>
      </c>
      <c r="J112" s="53">
        <f t="shared" si="10"/>
        <v>0</v>
      </c>
      <c r="K112" s="53">
        <f t="shared" si="11"/>
        <v>-14853200000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508</v>
      </c>
      <c r="H113" s="36">
        <f t="shared" si="8"/>
        <v>1</v>
      </c>
      <c r="I113" s="11">
        <f t="shared" si="9"/>
        <v>82661280</v>
      </c>
      <c r="J113" s="53">
        <f t="shared" si="10"/>
        <v>62113077</v>
      </c>
      <c r="K113" s="53">
        <f t="shared" si="11"/>
        <v>20548203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508</v>
      </c>
      <c r="H114" s="36">
        <f t="shared" si="8"/>
        <v>0</v>
      </c>
      <c r="I114" s="11">
        <f t="shared" si="9"/>
        <v>-2895600</v>
      </c>
      <c r="J114" s="53">
        <f t="shared" si="10"/>
        <v>-1270000</v>
      </c>
      <c r="K114" s="53">
        <f t="shared" si="11"/>
        <v>-1625600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495</v>
      </c>
      <c r="H115" s="36">
        <f t="shared" si="8"/>
        <v>0</v>
      </c>
      <c r="I115" s="11">
        <f t="shared" si="9"/>
        <v>0</v>
      </c>
      <c r="J115" s="53">
        <f t="shared" si="10"/>
        <v>247500000</v>
      </c>
      <c r="K115" s="53">
        <f t="shared" si="11"/>
        <v>-247500000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487</v>
      </c>
      <c r="H116" s="36">
        <f t="shared" si="8"/>
        <v>0</v>
      </c>
      <c r="I116" s="11">
        <f t="shared" si="9"/>
        <v>-77920000</v>
      </c>
      <c r="J116" s="53">
        <f t="shared" si="10"/>
        <v>0</v>
      </c>
      <c r="K116" s="53">
        <f t="shared" si="11"/>
        <v>-77920000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478</v>
      </c>
      <c r="H117" s="36">
        <f t="shared" si="8"/>
        <v>1</v>
      </c>
      <c r="I117" s="11">
        <f t="shared" si="9"/>
        <v>705960</v>
      </c>
      <c r="J117" s="53">
        <f t="shared" si="10"/>
        <v>51010857</v>
      </c>
      <c r="K117" s="53">
        <f t="shared" si="11"/>
        <v>-50304897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456</v>
      </c>
      <c r="H118" s="36">
        <f t="shared" si="8"/>
        <v>1</v>
      </c>
      <c r="I118" s="11">
        <f t="shared" si="9"/>
        <v>17926772500</v>
      </c>
      <c r="J118" s="53">
        <f t="shared" si="10"/>
        <v>0</v>
      </c>
      <c r="K118" s="53">
        <f t="shared" si="11"/>
        <v>17926772500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447</v>
      </c>
      <c r="H119" s="36">
        <f t="shared" si="8"/>
        <v>1</v>
      </c>
      <c r="I119" s="11">
        <f t="shared" si="9"/>
        <v>42602366</v>
      </c>
      <c r="J119" s="53">
        <f t="shared" si="10"/>
        <v>49084084</v>
      </c>
      <c r="K119" s="53">
        <f t="shared" si="11"/>
        <v>-6481718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443</v>
      </c>
      <c r="H120" s="11">
        <f t="shared" si="8"/>
        <v>1</v>
      </c>
      <c r="I120" s="11">
        <f t="shared" ref="I120:I206" si="13">B120*(G120-H120)</f>
        <v>884000000</v>
      </c>
      <c r="J120" s="11">
        <f t="shared" si="10"/>
        <v>0</v>
      </c>
      <c r="K120" s="11">
        <f t="shared" si="11"/>
        <v>884000000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417</v>
      </c>
      <c r="H121" s="11">
        <f t="shared" si="8"/>
        <v>1</v>
      </c>
      <c r="I121" s="11">
        <f t="shared" si="13"/>
        <v>1081600000</v>
      </c>
      <c r="J121" s="11">
        <f t="shared" si="10"/>
        <v>0</v>
      </c>
      <c r="K121" s="11">
        <f t="shared" si="11"/>
        <v>1081600000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416</v>
      </c>
      <c r="H122" s="11">
        <f t="shared" si="8"/>
        <v>1</v>
      </c>
      <c r="I122" s="11">
        <f t="shared" si="13"/>
        <v>159588665</v>
      </c>
      <c r="J122" s="11">
        <f t="shared" si="10"/>
        <v>46026820</v>
      </c>
      <c r="K122" s="11">
        <f t="shared" si="11"/>
        <v>113561845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415</v>
      </c>
      <c r="H123" s="11">
        <f t="shared" si="8"/>
        <v>0</v>
      </c>
      <c r="I123" s="11">
        <f t="shared" si="13"/>
        <v>0</v>
      </c>
      <c r="J123" s="11">
        <f t="shared" si="10"/>
        <v>332000000</v>
      </c>
      <c r="K123" s="11">
        <f t="shared" si="11"/>
        <v>-332000000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401</v>
      </c>
      <c r="H124" s="11">
        <f t="shared" si="8"/>
        <v>0</v>
      </c>
      <c r="I124" s="11">
        <f t="shared" si="13"/>
        <v>-1203000000</v>
      </c>
      <c r="J124" s="11">
        <f t="shared" si="10"/>
        <v>0</v>
      </c>
      <c r="K124" s="11">
        <f t="shared" si="11"/>
        <v>-1203000000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386</v>
      </c>
      <c r="H125" s="11">
        <f t="shared" si="8"/>
        <v>1</v>
      </c>
      <c r="I125" s="11">
        <f t="shared" si="13"/>
        <v>154273350</v>
      </c>
      <c r="J125" s="11">
        <f t="shared" si="10"/>
        <v>45766875</v>
      </c>
      <c r="K125" s="11">
        <f t="shared" si="11"/>
        <v>108506475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386</v>
      </c>
      <c r="H126" s="11">
        <f t="shared" si="8"/>
        <v>1</v>
      </c>
      <c r="I126" s="11">
        <f t="shared" si="13"/>
        <v>16170000000</v>
      </c>
      <c r="J126" s="11">
        <f t="shared" si="10"/>
        <v>0</v>
      </c>
      <c r="K126" s="11">
        <f t="shared" si="11"/>
        <v>16170000000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361</v>
      </c>
      <c r="H127" s="11">
        <f t="shared" si="8"/>
        <v>0</v>
      </c>
      <c r="I127" s="11">
        <f t="shared" si="13"/>
        <v>-1805000</v>
      </c>
      <c r="J127" s="11">
        <f t="shared" si="10"/>
        <v>0</v>
      </c>
      <c r="K127" s="11">
        <f t="shared" si="11"/>
        <v>-1805000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355</v>
      </c>
      <c r="H128" s="11">
        <f t="shared" si="8"/>
        <v>1</v>
      </c>
      <c r="I128" s="11">
        <f t="shared" si="13"/>
        <v>273066396</v>
      </c>
      <c r="J128" s="11">
        <f t="shared" si="10"/>
        <v>42726738</v>
      </c>
      <c r="K128" s="11">
        <f t="shared" si="11"/>
        <v>230339658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352</v>
      </c>
      <c r="H129" s="11">
        <f t="shared" si="8"/>
        <v>1</v>
      </c>
      <c r="I129" s="11">
        <f t="shared" si="13"/>
        <v>877500000</v>
      </c>
      <c r="J129" s="11">
        <f t="shared" si="10"/>
        <v>0</v>
      </c>
      <c r="K129" s="11">
        <f t="shared" si="11"/>
        <v>877500000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338</v>
      </c>
      <c r="H130" s="11">
        <f t="shared" si="8"/>
        <v>0</v>
      </c>
      <c r="I130" s="11">
        <f t="shared" si="13"/>
        <v>-338000000</v>
      </c>
      <c r="J130" s="11">
        <f t="shared" si="10"/>
        <v>-338000000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333</v>
      </c>
      <c r="H131" s="11">
        <f t="shared" si="8"/>
        <v>0</v>
      </c>
      <c r="I131" s="11">
        <f t="shared" si="13"/>
        <v>-16650000000</v>
      </c>
      <c r="J131" s="11">
        <f t="shared" si="10"/>
        <v>0</v>
      </c>
      <c r="K131" s="11">
        <f t="shared" si="11"/>
        <v>-16650000000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325</v>
      </c>
      <c r="H132" s="11">
        <f t="shared" ref="H132:H206" si="15">IF(B132&gt;0,1,0)</f>
        <v>1</v>
      </c>
      <c r="I132" s="11">
        <f t="shared" si="13"/>
        <v>199028988</v>
      </c>
      <c r="J132" s="11">
        <f t="shared" ref="J132:J206" si="16">C132*(G132-H132)</f>
        <v>34334604</v>
      </c>
      <c r="K132" s="11">
        <f t="shared" ref="K132:K206" si="17">D132*(G132-H132)</f>
        <v>164694384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321</v>
      </c>
      <c r="H133" s="11">
        <f t="shared" si="15"/>
        <v>0</v>
      </c>
      <c r="I133" s="11">
        <f t="shared" si="13"/>
        <v>-388634700</v>
      </c>
      <c r="J133" s="11">
        <f t="shared" si="16"/>
        <v>0</v>
      </c>
      <c r="K133" s="11">
        <f t="shared" si="17"/>
        <v>-388634700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312</v>
      </c>
      <c r="H134" s="11">
        <f t="shared" si="15"/>
        <v>0</v>
      </c>
      <c r="I134" s="11">
        <f t="shared" si="13"/>
        <v>-20280000</v>
      </c>
      <c r="J134" s="11">
        <f t="shared" si="16"/>
        <v>0</v>
      </c>
      <c r="K134" s="11">
        <f t="shared" si="17"/>
        <v>-20280000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312</v>
      </c>
      <c r="H135" s="11">
        <f t="shared" si="15"/>
        <v>0</v>
      </c>
      <c r="I135" s="11">
        <f t="shared" si="13"/>
        <v>-10077600</v>
      </c>
      <c r="J135" s="11">
        <f t="shared" si="16"/>
        <v>0</v>
      </c>
      <c r="K135" s="11">
        <f t="shared" si="17"/>
        <v>-10077600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304</v>
      </c>
      <c r="H136" s="11">
        <f t="shared" si="15"/>
        <v>0</v>
      </c>
      <c r="I136" s="11">
        <f t="shared" si="13"/>
        <v>-304000000</v>
      </c>
      <c r="J136" s="11">
        <f t="shared" si="16"/>
        <v>-304000000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295</v>
      </c>
      <c r="H137" s="11">
        <f t="shared" si="15"/>
        <v>1</v>
      </c>
      <c r="I137" s="11">
        <f t="shared" si="13"/>
        <v>85516662</v>
      </c>
      <c r="J137" s="11">
        <f t="shared" si="16"/>
        <v>28623546</v>
      </c>
      <c r="K137" s="11">
        <f t="shared" si="17"/>
        <v>56893116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278</v>
      </c>
      <c r="H138" s="11">
        <f t="shared" si="15"/>
        <v>0</v>
      </c>
      <c r="I138" s="11">
        <f t="shared" si="13"/>
        <v>-278139000</v>
      </c>
      <c r="J138" s="11">
        <f t="shared" si="16"/>
        <v>-278139000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266</v>
      </c>
      <c r="H139" s="11">
        <f t="shared" si="15"/>
        <v>1</v>
      </c>
      <c r="I139" s="11">
        <f t="shared" si="13"/>
        <v>74793600</v>
      </c>
      <c r="J139" s="11">
        <f t="shared" si="16"/>
        <v>23533855</v>
      </c>
      <c r="K139" s="11">
        <f t="shared" si="17"/>
        <v>51259745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263</v>
      </c>
      <c r="H140" s="11">
        <f t="shared" si="15"/>
        <v>1</v>
      </c>
      <c r="I140" s="11">
        <f t="shared" si="13"/>
        <v>393000000</v>
      </c>
      <c r="J140" s="11">
        <f t="shared" si="16"/>
        <v>0</v>
      </c>
      <c r="K140" s="11">
        <f t="shared" si="17"/>
        <v>393000000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250</v>
      </c>
      <c r="H141" s="11">
        <f t="shared" si="15"/>
        <v>0</v>
      </c>
      <c r="I141" s="11">
        <f t="shared" si="13"/>
        <v>0</v>
      </c>
      <c r="J141" s="11">
        <f t="shared" si="16"/>
        <v>-250000000</v>
      </c>
      <c r="K141" s="11">
        <f t="shared" si="17"/>
        <v>250000000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236</v>
      </c>
      <c r="H142" s="11">
        <f t="shared" si="15"/>
        <v>1</v>
      </c>
      <c r="I142" s="11">
        <f t="shared" si="13"/>
        <v>68359855</v>
      </c>
      <c r="J142" s="11">
        <f t="shared" si="16"/>
        <v>19040170</v>
      </c>
      <c r="K142" s="11">
        <f t="shared" si="17"/>
        <v>49319685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216</v>
      </c>
      <c r="H143" s="11">
        <f t="shared" si="15"/>
        <v>0</v>
      </c>
      <c r="I143" s="11">
        <f t="shared" si="13"/>
        <v>0</v>
      </c>
      <c r="J143" s="11">
        <f t="shared" si="16"/>
        <v>-216000000</v>
      </c>
      <c r="K143" s="11">
        <f t="shared" si="17"/>
        <v>216000000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206</v>
      </c>
      <c r="H144" s="11">
        <f t="shared" si="15"/>
        <v>1</v>
      </c>
      <c r="I144" s="11">
        <f t="shared" si="13"/>
        <v>60444660</v>
      </c>
      <c r="J144" s="11">
        <f t="shared" si="16"/>
        <v>15304685</v>
      </c>
      <c r="K144" s="11">
        <f t="shared" si="17"/>
        <v>45139975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191</v>
      </c>
      <c r="H145" s="11">
        <f t="shared" si="15"/>
        <v>0</v>
      </c>
      <c r="I145" s="11">
        <f t="shared" si="13"/>
        <v>-1910000</v>
      </c>
      <c r="J145" s="11">
        <f t="shared" si="16"/>
        <v>-955000</v>
      </c>
      <c r="K145" s="11">
        <f t="shared" si="17"/>
        <v>-955000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186</v>
      </c>
      <c r="H146" s="11">
        <f t="shared" si="15"/>
        <v>0</v>
      </c>
      <c r="I146" s="11">
        <f t="shared" si="13"/>
        <v>-186093000</v>
      </c>
      <c r="J146" s="11">
        <f t="shared" si="16"/>
        <v>-186093000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180</v>
      </c>
      <c r="H147" s="11">
        <f t="shared" si="15"/>
        <v>0</v>
      </c>
      <c r="I147" s="11">
        <f t="shared" si="13"/>
        <v>-4860000000</v>
      </c>
      <c r="J147" s="11">
        <f t="shared" si="16"/>
        <v>0</v>
      </c>
      <c r="K147" s="11">
        <f t="shared" si="17"/>
        <v>-4860000000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177</v>
      </c>
      <c r="H148" s="11">
        <f t="shared" si="15"/>
        <v>1</v>
      </c>
      <c r="I148" s="11">
        <f t="shared" si="13"/>
        <v>44428736</v>
      </c>
      <c r="J148" s="11">
        <f t="shared" si="16"/>
        <v>11529760</v>
      </c>
      <c r="K148" s="11">
        <f t="shared" si="17"/>
        <v>32898976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169</v>
      </c>
      <c r="H149" s="11">
        <f t="shared" si="15"/>
        <v>1</v>
      </c>
      <c r="I149" s="11">
        <f t="shared" si="13"/>
        <v>8803200000</v>
      </c>
      <c r="J149" s="11">
        <f t="shared" si="16"/>
        <v>0</v>
      </c>
      <c r="K149" s="11">
        <f t="shared" si="17"/>
        <v>8803200000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162</v>
      </c>
      <c r="H150" s="11">
        <f t="shared" si="15"/>
        <v>0</v>
      </c>
      <c r="I150" s="11">
        <f t="shared" si="13"/>
        <v>-8424000000</v>
      </c>
      <c r="J150" s="11">
        <f t="shared" si="16"/>
        <v>0</v>
      </c>
      <c r="K150" s="11">
        <f t="shared" si="17"/>
        <v>-8424000000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157</v>
      </c>
      <c r="H151" s="103">
        <f t="shared" si="15"/>
        <v>0</v>
      </c>
      <c r="I151" s="103">
        <f t="shared" si="13"/>
        <v>-1256000000</v>
      </c>
      <c r="J151" s="103">
        <f t="shared" si="16"/>
        <v>-1063224567</v>
      </c>
      <c r="K151" s="11">
        <f t="shared" si="17"/>
        <v>-192775433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157</v>
      </c>
      <c r="H152" s="103">
        <f t="shared" si="15"/>
        <v>0</v>
      </c>
      <c r="I152" s="103">
        <f t="shared" si="13"/>
        <v>-4903110</v>
      </c>
      <c r="J152" s="103">
        <f t="shared" si="16"/>
        <v>0</v>
      </c>
      <c r="K152" s="103">
        <f t="shared" si="17"/>
        <v>-4903110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146</v>
      </c>
      <c r="H153" s="103">
        <f t="shared" si="15"/>
        <v>1</v>
      </c>
      <c r="I153" s="103">
        <f t="shared" si="13"/>
        <v>19587615</v>
      </c>
      <c r="J153" s="103">
        <f t="shared" si="16"/>
        <v>5963850</v>
      </c>
      <c r="K153" s="103">
        <f t="shared" si="17"/>
        <v>13623765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143</v>
      </c>
      <c r="H154" s="103">
        <f t="shared" si="15"/>
        <v>1</v>
      </c>
      <c r="I154" s="103">
        <f t="shared" si="13"/>
        <v>969019644</v>
      </c>
      <c r="J154" s="103">
        <f t="shared" si="16"/>
        <v>969019644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138</v>
      </c>
      <c r="H155" s="103">
        <f t="shared" si="15"/>
        <v>0</v>
      </c>
      <c r="I155" s="103">
        <f t="shared" si="13"/>
        <v>-27600000</v>
      </c>
      <c r="J155" s="103">
        <f t="shared" si="16"/>
        <v>0</v>
      </c>
      <c r="K155" s="103">
        <f t="shared" si="17"/>
        <v>-27600000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138</v>
      </c>
      <c r="H156" s="103">
        <f t="shared" si="15"/>
        <v>0</v>
      </c>
      <c r="I156" s="103">
        <f t="shared" si="13"/>
        <v>-34201920</v>
      </c>
      <c r="J156" s="103">
        <f t="shared" si="16"/>
        <v>0</v>
      </c>
      <c r="K156" s="103">
        <f t="shared" si="17"/>
        <v>-34201920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137</v>
      </c>
      <c r="H157" s="103">
        <f t="shared" si="15"/>
        <v>0</v>
      </c>
      <c r="I157" s="103">
        <f t="shared" si="13"/>
        <v>-22240580</v>
      </c>
      <c r="J157" s="103">
        <f t="shared" si="16"/>
        <v>0</v>
      </c>
      <c r="K157" s="103">
        <f t="shared" si="17"/>
        <v>-22240580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137</v>
      </c>
      <c r="H158" s="103">
        <f t="shared" si="15"/>
        <v>0</v>
      </c>
      <c r="I158" s="103">
        <f t="shared" si="13"/>
        <v>-411123300</v>
      </c>
      <c r="J158" s="103">
        <f t="shared" si="16"/>
        <v>0</v>
      </c>
      <c r="K158" s="103">
        <f t="shared" si="17"/>
        <v>-411123300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135</v>
      </c>
      <c r="H159" s="103">
        <f t="shared" si="15"/>
        <v>0</v>
      </c>
      <c r="I159" s="103">
        <f t="shared" si="13"/>
        <v>-135067500</v>
      </c>
      <c r="J159" s="103">
        <f t="shared" si="16"/>
        <v>0</v>
      </c>
      <c r="K159" s="103">
        <f t="shared" si="17"/>
        <v>-135067500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131</v>
      </c>
      <c r="H160" s="103">
        <f t="shared" si="15"/>
        <v>0</v>
      </c>
      <c r="I160" s="103">
        <f t="shared" si="13"/>
        <v>-13100000</v>
      </c>
      <c r="J160" s="103">
        <f t="shared" si="16"/>
        <v>0</v>
      </c>
      <c r="K160" s="103">
        <f t="shared" si="17"/>
        <v>-13100000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130</v>
      </c>
      <c r="H161" s="103">
        <f t="shared" si="15"/>
        <v>0</v>
      </c>
      <c r="I161" s="103">
        <f t="shared" si="13"/>
        <v>-260000000</v>
      </c>
      <c r="J161" s="103">
        <f t="shared" si="16"/>
        <v>0</v>
      </c>
      <c r="K161" s="103">
        <f t="shared" si="17"/>
        <v>-260000000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130</v>
      </c>
      <c r="H162" s="103">
        <f t="shared" si="15"/>
        <v>0</v>
      </c>
      <c r="I162" s="103">
        <f t="shared" si="13"/>
        <v>-130065000</v>
      </c>
      <c r="J162" s="103">
        <f t="shared" si="16"/>
        <v>0</v>
      </c>
      <c r="K162" s="103">
        <f t="shared" si="17"/>
        <v>-130065000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127</v>
      </c>
      <c r="H163" s="103">
        <f t="shared" si="15"/>
        <v>0</v>
      </c>
      <c r="I163" s="103">
        <f t="shared" si="13"/>
        <v>-635000</v>
      </c>
      <c r="J163" s="103">
        <f t="shared" si="16"/>
        <v>0</v>
      </c>
      <c r="K163" s="103">
        <f t="shared" si="17"/>
        <v>-635000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117</v>
      </c>
      <c r="H164" s="103">
        <f t="shared" si="15"/>
        <v>1</v>
      </c>
      <c r="I164" s="103">
        <f t="shared" si="13"/>
        <v>348000000</v>
      </c>
      <c r="J164" s="103">
        <f t="shared" si="16"/>
        <v>0</v>
      </c>
      <c r="K164" s="103">
        <f t="shared" si="17"/>
        <v>348000000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116</v>
      </c>
      <c r="H165" s="103">
        <f t="shared" si="15"/>
        <v>1</v>
      </c>
      <c r="I165" s="103">
        <f t="shared" si="13"/>
        <v>345000000</v>
      </c>
      <c r="J165" s="103">
        <f t="shared" si="16"/>
        <v>0</v>
      </c>
      <c r="K165" s="103">
        <f t="shared" si="17"/>
        <v>345000000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115</v>
      </c>
      <c r="H166" s="103">
        <f t="shared" si="15"/>
        <v>1</v>
      </c>
      <c r="I166" s="103">
        <f t="shared" si="13"/>
        <v>2315796</v>
      </c>
      <c r="J166" s="103">
        <f t="shared" si="16"/>
        <v>6821988</v>
      </c>
      <c r="K166" s="103">
        <f t="shared" si="17"/>
        <v>-4506192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110</v>
      </c>
      <c r="H167" s="103">
        <f t="shared" si="15"/>
        <v>0</v>
      </c>
      <c r="I167" s="103">
        <f t="shared" si="13"/>
        <v>-330099000</v>
      </c>
      <c r="J167" s="103">
        <f t="shared" si="16"/>
        <v>0</v>
      </c>
      <c r="K167" s="103">
        <f t="shared" si="17"/>
        <v>-330099000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92</v>
      </c>
      <c r="H168" s="103">
        <f t="shared" si="15"/>
        <v>0</v>
      </c>
      <c r="I168" s="103">
        <f t="shared" si="13"/>
        <v>-276082800</v>
      </c>
      <c r="J168" s="103">
        <f t="shared" si="16"/>
        <v>0</v>
      </c>
      <c r="K168" s="103">
        <f t="shared" si="17"/>
        <v>-276082800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84</v>
      </c>
      <c r="H169" s="103">
        <f t="shared" si="15"/>
        <v>1</v>
      </c>
      <c r="I169" s="103">
        <f t="shared" si="13"/>
        <v>1801515</v>
      </c>
      <c r="J169" s="103">
        <f t="shared" si="16"/>
        <v>5686745</v>
      </c>
      <c r="K169" s="103">
        <f t="shared" si="17"/>
        <v>-3885230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60</v>
      </c>
      <c r="H170" s="103">
        <f t="shared" si="15"/>
        <v>1</v>
      </c>
      <c r="I170" s="103">
        <f t="shared" si="13"/>
        <v>295000000</v>
      </c>
      <c r="J170" s="103">
        <f t="shared" si="16"/>
        <v>0</v>
      </c>
      <c r="K170" s="103">
        <f t="shared" si="17"/>
        <v>295000000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59</v>
      </c>
      <c r="H171" s="103">
        <f t="shared" si="15"/>
        <v>0</v>
      </c>
      <c r="I171" s="103">
        <f t="shared" si="13"/>
        <v>-295000000</v>
      </c>
      <c r="J171" s="103">
        <f t="shared" si="16"/>
        <v>0</v>
      </c>
      <c r="K171" s="103">
        <f t="shared" si="17"/>
        <v>-295000000</v>
      </c>
    </row>
    <row r="172" spans="1:13" x14ac:dyDescent="0.25">
      <c r="A172" s="103" t="s">
        <v>3995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53</v>
      </c>
      <c r="H172" s="103">
        <f t="shared" si="15"/>
        <v>1</v>
      </c>
      <c r="I172" s="103">
        <f t="shared" si="13"/>
        <v>25792</v>
      </c>
      <c r="J172" s="103">
        <f t="shared" si="16"/>
        <v>3259412</v>
      </c>
      <c r="K172" s="103">
        <f t="shared" si="17"/>
        <v>-3233620</v>
      </c>
    </row>
    <row r="173" spans="1:13" x14ac:dyDescent="0.25">
      <c r="A173" s="103" t="s">
        <v>4022</v>
      </c>
      <c r="B173" s="18">
        <v>785000</v>
      </c>
      <c r="C173" s="18">
        <v>0</v>
      </c>
      <c r="D173" s="18">
        <f t="shared" si="18"/>
        <v>785000</v>
      </c>
      <c r="E173" s="103" t="s">
        <v>4023</v>
      </c>
      <c r="F173" s="103">
        <v>11</v>
      </c>
      <c r="G173" s="36">
        <f t="shared" si="14"/>
        <v>52</v>
      </c>
      <c r="H173" s="103">
        <f t="shared" si="15"/>
        <v>1</v>
      </c>
      <c r="I173" s="103">
        <f t="shared" si="13"/>
        <v>40035000</v>
      </c>
      <c r="J173" s="103">
        <f t="shared" si="16"/>
        <v>0</v>
      </c>
      <c r="K173" s="103">
        <f t="shared" si="17"/>
        <v>40035000</v>
      </c>
    </row>
    <row r="174" spans="1:13" x14ac:dyDescent="0.25">
      <c r="A174" s="11" t="s">
        <v>4022</v>
      </c>
      <c r="B174" s="18">
        <v>-32000</v>
      </c>
      <c r="C174" s="18">
        <v>0</v>
      </c>
      <c r="D174" s="18">
        <f t="shared" si="18"/>
        <v>-32000</v>
      </c>
      <c r="E174" s="11" t="s">
        <v>4004</v>
      </c>
      <c r="F174" s="11">
        <v>2</v>
      </c>
      <c r="G174" s="36">
        <f t="shared" si="14"/>
        <v>41</v>
      </c>
      <c r="H174" s="103">
        <f t="shared" si="15"/>
        <v>0</v>
      </c>
      <c r="I174" s="103">
        <f t="shared" si="13"/>
        <v>-1312000</v>
      </c>
      <c r="J174" s="103">
        <f t="shared" si="16"/>
        <v>0</v>
      </c>
      <c r="K174" s="103">
        <f t="shared" si="17"/>
        <v>-1312000</v>
      </c>
    </row>
    <row r="175" spans="1:13" x14ac:dyDescent="0.25">
      <c r="A175" s="103" t="s">
        <v>4024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39</v>
      </c>
      <c r="H175" s="103">
        <f t="shared" si="15"/>
        <v>0</v>
      </c>
      <c r="I175" s="103">
        <f t="shared" si="13"/>
        <v>-29250000</v>
      </c>
      <c r="J175" s="103">
        <f t="shared" si="16"/>
        <v>0</v>
      </c>
      <c r="K175" s="103">
        <f t="shared" si="17"/>
        <v>-29250000</v>
      </c>
    </row>
    <row r="176" spans="1:13" x14ac:dyDescent="0.25">
      <c r="A176" s="103" t="s">
        <v>4058</v>
      </c>
      <c r="B176" s="18">
        <v>-9396</v>
      </c>
      <c r="C176" s="18">
        <v>0</v>
      </c>
      <c r="D176" s="18">
        <f t="shared" si="18"/>
        <v>-9396</v>
      </c>
      <c r="E176" s="103" t="s">
        <v>4059</v>
      </c>
      <c r="F176" s="103">
        <v>1</v>
      </c>
      <c r="G176" s="36">
        <f t="shared" si="14"/>
        <v>30</v>
      </c>
      <c r="H176" s="103">
        <f t="shared" si="15"/>
        <v>0</v>
      </c>
      <c r="I176" s="103">
        <f t="shared" si="13"/>
        <v>-281880</v>
      </c>
      <c r="J176" s="103">
        <f t="shared" si="16"/>
        <v>0</v>
      </c>
      <c r="K176" s="103">
        <f t="shared" si="17"/>
        <v>-281880</v>
      </c>
    </row>
    <row r="177" spans="1:14" x14ac:dyDescent="0.25">
      <c r="A177" s="103" t="s">
        <v>4062</v>
      </c>
      <c r="B177" s="18">
        <v>-43300</v>
      </c>
      <c r="C177" s="18">
        <v>0</v>
      </c>
      <c r="D177" s="18">
        <f t="shared" si="18"/>
        <v>-43300</v>
      </c>
      <c r="E177" s="103" t="s">
        <v>4064</v>
      </c>
      <c r="F177" s="103">
        <v>3</v>
      </c>
      <c r="G177" s="36">
        <f t="shared" si="14"/>
        <v>29</v>
      </c>
      <c r="H177" s="103">
        <f t="shared" si="15"/>
        <v>0</v>
      </c>
      <c r="I177" s="103">
        <f t="shared" si="13"/>
        <v>-1255700</v>
      </c>
      <c r="J177" s="103">
        <f t="shared" si="16"/>
        <v>0</v>
      </c>
      <c r="K177" s="103">
        <f t="shared" si="17"/>
        <v>-1255700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4075</v>
      </c>
      <c r="F178" s="103">
        <v>2</v>
      </c>
      <c r="G178" s="36">
        <f t="shared" si="14"/>
        <v>26</v>
      </c>
      <c r="H178" s="103">
        <f t="shared" si="15"/>
        <v>1</v>
      </c>
      <c r="I178" s="103">
        <f t="shared" si="13"/>
        <v>9000000</v>
      </c>
      <c r="J178" s="103">
        <f t="shared" si="16"/>
        <v>0</v>
      </c>
      <c r="K178" s="103">
        <f t="shared" si="17"/>
        <v>9000000</v>
      </c>
    </row>
    <row r="179" spans="1:14" x14ac:dyDescent="0.25">
      <c r="A179" s="103" t="s">
        <v>4077</v>
      </c>
      <c r="B179" s="18">
        <v>3000000</v>
      </c>
      <c r="C179" s="18">
        <v>0</v>
      </c>
      <c r="D179" s="18">
        <f t="shared" si="18"/>
        <v>3000000</v>
      </c>
      <c r="E179" s="103" t="s">
        <v>4078</v>
      </c>
      <c r="F179" s="103">
        <v>0</v>
      </c>
      <c r="G179" s="36">
        <f t="shared" si="14"/>
        <v>24</v>
      </c>
      <c r="H179" s="103">
        <f t="shared" si="15"/>
        <v>1</v>
      </c>
      <c r="I179" s="103">
        <f t="shared" si="13"/>
        <v>69000000</v>
      </c>
      <c r="J179" s="103">
        <f t="shared" si="16"/>
        <v>0</v>
      </c>
      <c r="K179" s="103">
        <f t="shared" si="17"/>
        <v>69000000</v>
      </c>
    </row>
    <row r="180" spans="1:14" x14ac:dyDescent="0.25">
      <c r="A180" s="103" t="s">
        <v>4077</v>
      </c>
      <c r="B180" s="18">
        <v>-12050</v>
      </c>
      <c r="C180" s="18">
        <v>0</v>
      </c>
      <c r="D180" s="18">
        <f t="shared" si="18"/>
        <v>-12050</v>
      </c>
      <c r="E180" s="103" t="s">
        <v>4059</v>
      </c>
      <c r="F180" s="103">
        <v>2</v>
      </c>
      <c r="G180" s="36">
        <f t="shared" si="14"/>
        <v>24</v>
      </c>
      <c r="H180" s="103">
        <f t="shared" si="15"/>
        <v>0</v>
      </c>
      <c r="I180" s="103">
        <f t="shared" si="13"/>
        <v>-289200</v>
      </c>
      <c r="J180" s="103">
        <f t="shared" si="16"/>
        <v>0</v>
      </c>
      <c r="K180" s="103">
        <f t="shared" si="17"/>
        <v>-289200</v>
      </c>
    </row>
    <row r="181" spans="1:14" x14ac:dyDescent="0.25">
      <c r="A181" s="103" t="s">
        <v>4082</v>
      </c>
      <c r="B181" s="18">
        <v>3000000</v>
      </c>
      <c r="C181" s="18">
        <v>0</v>
      </c>
      <c r="D181" s="18">
        <f t="shared" si="18"/>
        <v>3000000</v>
      </c>
      <c r="E181" s="103" t="s">
        <v>4083</v>
      </c>
      <c r="F181" s="103">
        <v>2</v>
      </c>
      <c r="G181" s="36">
        <f t="shared" si="14"/>
        <v>22</v>
      </c>
      <c r="H181" s="103">
        <f t="shared" si="15"/>
        <v>1</v>
      </c>
      <c r="I181" s="103">
        <f t="shared" si="13"/>
        <v>63000000</v>
      </c>
      <c r="J181" s="103">
        <f t="shared" si="16"/>
        <v>0</v>
      </c>
      <c r="K181" s="103">
        <f t="shared" si="17"/>
        <v>63000000</v>
      </c>
    </row>
    <row r="182" spans="1:14" x14ac:dyDescent="0.25">
      <c r="A182" s="103" t="s">
        <v>4093</v>
      </c>
      <c r="B182" s="18">
        <v>-35800</v>
      </c>
      <c r="C182" s="18">
        <v>0</v>
      </c>
      <c r="D182" s="18">
        <f t="shared" si="18"/>
        <v>-35800</v>
      </c>
      <c r="E182" s="103" t="s">
        <v>4094</v>
      </c>
      <c r="F182" s="103">
        <v>1</v>
      </c>
      <c r="G182" s="36">
        <f t="shared" si="14"/>
        <v>20</v>
      </c>
      <c r="H182" s="103">
        <f t="shared" si="15"/>
        <v>0</v>
      </c>
      <c r="I182" s="103">
        <f t="shared" si="13"/>
        <v>-716000</v>
      </c>
      <c r="J182" s="103">
        <f t="shared" si="16"/>
        <v>0</v>
      </c>
      <c r="K182" s="103">
        <f t="shared" si="17"/>
        <v>-716000</v>
      </c>
      <c r="N182" t="s">
        <v>25</v>
      </c>
    </row>
    <row r="183" spans="1:14" x14ac:dyDescent="0.25">
      <c r="A183" s="103" t="s">
        <v>4092</v>
      </c>
      <c r="B183" s="18">
        <v>3600000</v>
      </c>
      <c r="C183" s="18">
        <v>0</v>
      </c>
      <c r="D183" s="18">
        <f t="shared" si="18"/>
        <v>3600000</v>
      </c>
      <c r="E183" s="103" t="s">
        <v>4095</v>
      </c>
      <c r="F183" s="103">
        <v>0</v>
      </c>
      <c r="G183" s="36">
        <f t="shared" si="14"/>
        <v>19</v>
      </c>
      <c r="H183" s="103">
        <f t="shared" si="15"/>
        <v>1</v>
      </c>
      <c r="I183" s="103">
        <f t="shared" si="13"/>
        <v>64800000</v>
      </c>
      <c r="J183" s="103">
        <f t="shared" si="16"/>
        <v>0</v>
      </c>
      <c r="K183" s="103">
        <f t="shared" si="17"/>
        <v>64800000</v>
      </c>
    </row>
    <row r="184" spans="1:14" x14ac:dyDescent="0.25">
      <c r="A184" s="103" t="s">
        <v>4092</v>
      </c>
      <c r="B184" s="18">
        <v>-33377</v>
      </c>
      <c r="C184" s="18">
        <v>0</v>
      </c>
      <c r="D184" s="18">
        <f t="shared" si="18"/>
        <v>-33377</v>
      </c>
      <c r="E184" s="103" t="s">
        <v>4097</v>
      </c>
      <c r="F184" s="103">
        <v>3</v>
      </c>
      <c r="G184" s="36">
        <f t="shared" si="14"/>
        <v>19</v>
      </c>
      <c r="H184" s="103">
        <f t="shared" si="15"/>
        <v>0</v>
      </c>
      <c r="I184" s="103">
        <f t="shared" si="13"/>
        <v>-634163</v>
      </c>
      <c r="J184" s="103">
        <f t="shared" si="16"/>
        <v>0</v>
      </c>
      <c r="K184" s="103">
        <f t="shared" si="17"/>
        <v>-634163</v>
      </c>
    </row>
    <row r="185" spans="1:14" x14ac:dyDescent="0.25">
      <c r="A185" s="103" t="s">
        <v>4127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16</v>
      </c>
      <c r="H185" s="103">
        <f t="shared" si="15"/>
        <v>0</v>
      </c>
      <c r="I185" s="103">
        <f t="shared" si="13"/>
        <v>-156800000</v>
      </c>
      <c r="J185" s="103">
        <f t="shared" si="16"/>
        <v>0</v>
      </c>
      <c r="K185" s="103">
        <f t="shared" si="17"/>
        <v>-156800000</v>
      </c>
    </row>
    <row r="186" spans="1:14" x14ac:dyDescent="0.25">
      <c r="A186" s="103" t="s">
        <v>4127</v>
      </c>
      <c r="B186" s="18">
        <v>18000000</v>
      </c>
      <c r="C186" s="18">
        <v>0</v>
      </c>
      <c r="D186" s="18">
        <f t="shared" si="18"/>
        <v>18000000</v>
      </c>
      <c r="E186" s="103" t="s">
        <v>4129</v>
      </c>
      <c r="F186" s="103">
        <v>0</v>
      </c>
      <c r="G186" s="36">
        <f t="shared" si="14"/>
        <v>16</v>
      </c>
      <c r="H186" s="103">
        <f t="shared" si="15"/>
        <v>1</v>
      </c>
      <c r="I186" s="103">
        <f t="shared" si="13"/>
        <v>270000000</v>
      </c>
      <c r="J186" s="103">
        <f t="shared" si="16"/>
        <v>0</v>
      </c>
      <c r="K186" s="103">
        <f t="shared" si="17"/>
        <v>270000000</v>
      </c>
    </row>
    <row r="187" spans="1:14" x14ac:dyDescent="0.25">
      <c r="A187" s="103" t="s">
        <v>4127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16</v>
      </c>
      <c r="H187" s="103">
        <f t="shared" si="15"/>
        <v>0</v>
      </c>
      <c r="I187" s="103">
        <f t="shared" si="13"/>
        <v>-144000000</v>
      </c>
      <c r="J187" s="103">
        <f t="shared" si="16"/>
        <v>0</v>
      </c>
      <c r="K187" s="103">
        <f t="shared" si="17"/>
        <v>-144000000</v>
      </c>
    </row>
    <row r="188" spans="1:14" x14ac:dyDescent="0.25">
      <c r="A188" s="103" t="s">
        <v>4127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16</v>
      </c>
      <c r="H188" s="103">
        <f t="shared" si="15"/>
        <v>0</v>
      </c>
      <c r="I188" s="103">
        <f t="shared" si="13"/>
        <v>-185600</v>
      </c>
      <c r="J188" s="103">
        <f t="shared" si="16"/>
        <v>0</v>
      </c>
      <c r="K188" s="103">
        <f t="shared" si="17"/>
        <v>-185600</v>
      </c>
    </row>
    <row r="189" spans="1:14" x14ac:dyDescent="0.25">
      <c r="A189" s="103" t="s">
        <v>4127</v>
      </c>
      <c r="B189" s="18">
        <v>-3304327</v>
      </c>
      <c r="C189" s="18">
        <v>0</v>
      </c>
      <c r="D189" s="18">
        <f t="shared" si="18"/>
        <v>-3304327</v>
      </c>
      <c r="E189" s="103" t="s">
        <v>4131</v>
      </c>
      <c r="F189" s="103">
        <v>1</v>
      </c>
      <c r="G189" s="36">
        <f t="shared" si="14"/>
        <v>16</v>
      </c>
      <c r="H189" s="103">
        <f t="shared" si="15"/>
        <v>0</v>
      </c>
      <c r="I189" s="103">
        <f t="shared" si="13"/>
        <v>-52869232</v>
      </c>
      <c r="J189" s="103">
        <f t="shared" si="16"/>
        <v>0</v>
      </c>
      <c r="K189" s="103">
        <f t="shared" si="17"/>
        <v>-52869232</v>
      </c>
    </row>
    <row r="190" spans="1:14" x14ac:dyDescent="0.25">
      <c r="A190" s="103" t="s">
        <v>4137</v>
      </c>
      <c r="B190" s="18">
        <v>-3000900</v>
      </c>
      <c r="C190" s="18">
        <v>0</v>
      </c>
      <c r="D190" s="18">
        <f t="shared" si="18"/>
        <v>-3000900</v>
      </c>
      <c r="E190" s="103" t="s">
        <v>4138</v>
      </c>
      <c r="F190" s="103">
        <v>1</v>
      </c>
      <c r="G190" s="36">
        <f t="shared" si="14"/>
        <v>15</v>
      </c>
      <c r="H190" s="103">
        <f t="shared" si="15"/>
        <v>0</v>
      </c>
      <c r="I190" s="103">
        <f t="shared" si="13"/>
        <v>-45013500</v>
      </c>
      <c r="J190" s="103">
        <f t="shared" si="16"/>
        <v>0</v>
      </c>
      <c r="K190" s="103">
        <f t="shared" si="17"/>
        <v>-45013500</v>
      </c>
    </row>
    <row r="191" spans="1:14" x14ac:dyDescent="0.25">
      <c r="A191" s="103" t="s">
        <v>4143</v>
      </c>
      <c r="B191" s="18">
        <v>-2760900</v>
      </c>
      <c r="C191" s="18">
        <v>0</v>
      </c>
      <c r="D191" s="18">
        <f t="shared" si="18"/>
        <v>-2760900</v>
      </c>
      <c r="E191" s="103" t="s">
        <v>4144</v>
      </c>
      <c r="F191" s="103">
        <v>5</v>
      </c>
      <c r="G191" s="36">
        <f t="shared" si="14"/>
        <v>14</v>
      </c>
      <c r="H191" s="103">
        <f t="shared" si="15"/>
        <v>0</v>
      </c>
      <c r="I191" s="103">
        <f t="shared" si="13"/>
        <v>-38652600</v>
      </c>
      <c r="J191" s="103">
        <f t="shared" si="16"/>
        <v>0</v>
      </c>
      <c r="K191" s="103">
        <f t="shared" si="17"/>
        <v>-38652600</v>
      </c>
    </row>
    <row r="192" spans="1:14" x14ac:dyDescent="0.25">
      <c r="A192" s="103" t="s">
        <v>4157</v>
      </c>
      <c r="B192" s="18">
        <v>1000000</v>
      </c>
      <c r="C192" s="18">
        <v>0</v>
      </c>
      <c r="D192" s="18">
        <f t="shared" si="18"/>
        <v>1000000</v>
      </c>
      <c r="E192" s="103" t="s">
        <v>4135</v>
      </c>
      <c r="F192" s="103">
        <v>1</v>
      </c>
      <c r="G192" s="36">
        <f t="shared" si="14"/>
        <v>9</v>
      </c>
      <c r="H192" s="103">
        <f t="shared" si="15"/>
        <v>1</v>
      </c>
      <c r="I192" s="103">
        <f t="shared" si="13"/>
        <v>8000000</v>
      </c>
      <c r="J192" s="103">
        <f t="shared" si="16"/>
        <v>0</v>
      </c>
      <c r="K192" s="103">
        <f t="shared" si="17"/>
        <v>8000000</v>
      </c>
    </row>
    <row r="193" spans="1:11" x14ac:dyDescent="0.25">
      <c r="A193" s="103" t="s">
        <v>4177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8</v>
      </c>
      <c r="H193" s="103">
        <f t="shared" si="15"/>
        <v>0</v>
      </c>
      <c r="I193" s="103">
        <f t="shared" si="13"/>
        <v>-120000</v>
      </c>
      <c r="J193" s="103">
        <f t="shared" si="16"/>
        <v>0</v>
      </c>
      <c r="K193" s="103">
        <f t="shared" si="17"/>
        <v>-120000</v>
      </c>
    </row>
    <row r="194" spans="1:11" x14ac:dyDescent="0.25">
      <c r="A194" s="103" t="s">
        <v>4173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6</v>
      </c>
      <c r="H194" s="103">
        <f t="shared" si="15"/>
        <v>0</v>
      </c>
      <c r="I194" s="103">
        <f t="shared" si="13"/>
        <v>-5940000</v>
      </c>
      <c r="J194" s="103">
        <f t="shared" si="16"/>
        <v>0</v>
      </c>
      <c r="K194" s="103">
        <f t="shared" si="17"/>
        <v>-5940000</v>
      </c>
    </row>
    <row r="195" spans="1:11" x14ac:dyDescent="0.25">
      <c r="A195" s="103" t="s">
        <v>4173</v>
      </c>
      <c r="B195" s="18">
        <v>783000</v>
      </c>
      <c r="C195" s="18">
        <v>0</v>
      </c>
      <c r="D195" s="18">
        <f t="shared" si="18"/>
        <v>783000</v>
      </c>
      <c r="E195" s="103" t="s">
        <v>4181</v>
      </c>
      <c r="F195" s="103">
        <v>2</v>
      </c>
      <c r="G195" s="36">
        <f t="shared" si="14"/>
        <v>6</v>
      </c>
      <c r="H195" s="103">
        <f t="shared" si="15"/>
        <v>1</v>
      </c>
      <c r="I195" s="103">
        <f t="shared" si="13"/>
        <v>3915000</v>
      </c>
      <c r="J195" s="103">
        <f t="shared" si="16"/>
        <v>0</v>
      </c>
      <c r="K195" s="103">
        <f t="shared" si="17"/>
        <v>3915000</v>
      </c>
    </row>
    <row r="196" spans="1:11" x14ac:dyDescent="0.25">
      <c r="A196" s="103" t="s">
        <v>4209</v>
      </c>
      <c r="B196" s="18">
        <v>-750500</v>
      </c>
      <c r="C196" s="18">
        <v>0</v>
      </c>
      <c r="D196" s="18">
        <f t="shared" si="18"/>
        <v>-750500</v>
      </c>
      <c r="E196" s="103" t="s">
        <v>4210</v>
      </c>
      <c r="F196" s="103">
        <v>2</v>
      </c>
      <c r="G196" s="36">
        <f t="shared" si="14"/>
        <v>4</v>
      </c>
      <c r="H196" s="103">
        <f t="shared" si="15"/>
        <v>0</v>
      </c>
      <c r="I196" s="103">
        <f t="shared" si="13"/>
        <v>-3002000</v>
      </c>
      <c r="J196" s="103">
        <f t="shared" si="16"/>
        <v>0</v>
      </c>
      <c r="K196" s="103">
        <f t="shared" si="17"/>
        <v>-3002000</v>
      </c>
    </row>
    <row r="197" spans="1:11" x14ac:dyDescent="0.25">
      <c r="A197" s="103" t="s">
        <v>4246</v>
      </c>
      <c r="B197" s="18">
        <v>700000</v>
      </c>
      <c r="C197" s="18">
        <v>0</v>
      </c>
      <c r="D197" s="18">
        <f t="shared" si="18"/>
        <v>700000</v>
      </c>
      <c r="E197" s="103" t="s">
        <v>3926</v>
      </c>
      <c r="F197" s="103">
        <v>0</v>
      </c>
      <c r="G197" s="36">
        <f t="shared" si="14"/>
        <v>2</v>
      </c>
      <c r="H197" s="103">
        <f t="shared" si="15"/>
        <v>1</v>
      </c>
      <c r="I197" s="103">
        <f t="shared" si="13"/>
        <v>700000</v>
      </c>
      <c r="J197" s="103">
        <f t="shared" si="16"/>
        <v>0</v>
      </c>
      <c r="K197" s="103">
        <f t="shared" si="17"/>
        <v>700000</v>
      </c>
    </row>
    <row r="198" spans="1:11" x14ac:dyDescent="0.25">
      <c r="A198" s="103" t="s">
        <v>4246</v>
      </c>
      <c r="B198" s="18">
        <v>-99000</v>
      </c>
      <c r="C198" s="18">
        <v>0</v>
      </c>
      <c r="D198" s="18">
        <f t="shared" si="18"/>
        <v>-99000</v>
      </c>
      <c r="E198" s="103" t="s">
        <v>4260</v>
      </c>
      <c r="F198" s="103">
        <v>1</v>
      </c>
      <c r="G198" s="36">
        <f t="shared" si="14"/>
        <v>2</v>
      </c>
      <c r="H198" s="103">
        <f t="shared" si="15"/>
        <v>0</v>
      </c>
      <c r="I198" s="103">
        <f t="shared" si="13"/>
        <v>-198000</v>
      </c>
      <c r="J198" s="103">
        <f t="shared" si="16"/>
        <v>0</v>
      </c>
      <c r="K198" s="103">
        <f t="shared" si="17"/>
        <v>-198000</v>
      </c>
    </row>
    <row r="199" spans="1:11" x14ac:dyDescent="0.25">
      <c r="A199" s="103" t="s">
        <v>4262</v>
      </c>
      <c r="B199" s="18">
        <v>-205750</v>
      </c>
      <c r="C199" s="18">
        <v>0</v>
      </c>
      <c r="D199" s="18">
        <f t="shared" si="18"/>
        <v>-205750</v>
      </c>
      <c r="E199" s="103" t="s">
        <v>4263</v>
      </c>
      <c r="F199" s="103">
        <v>0</v>
      </c>
      <c r="G199" s="36">
        <f t="shared" si="14"/>
        <v>1</v>
      </c>
      <c r="H199" s="103">
        <f t="shared" si="15"/>
        <v>0</v>
      </c>
      <c r="I199" s="103">
        <f t="shared" si="13"/>
        <v>-205750</v>
      </c>
      <c r="J199" s="103">
        <f t="shared" si="16"/>
        <v>0</v>
      </c>
      <c r="K199" s="103">
        <f t="shared" si="17"/>
        <v>-205750</v>
      </c>
    </row>
    <row r="200" spans="1:11" x14ac:dyDescent="0.25">
      <c r="A200" s="103" t="s">
        <v>4262</v>
      </c>
      <c r="B200" s="18">
        <v>-95000</v>
      </c>
      <c r="C200" s="18">
        <v>0</v>
      </c>
      <c r="D200" s="18">
        <f t="shared" si="18"/>
        <v>-95000</v>
      </c>
      <c r="E200" s="103" t="s">
        <v>4264</v>
      </c>
      <c r="F200" s="103">
        <v>1</v>
      </c>
      <c r="G200" s="36">
        <f t="shared" si="14"/>
        <v>1</v>
      </c>
      <c r="H200" s="103">
        <f t="shared" si="15"/>
        <v>0</v>
      </c>
      <c r="I200" s="103">
        <f t="shared" si="13"/>
        <v>-95000</v>
      </c>
      <c r="J200" s="103">
        <f t="shared" si="16"/>
        <v>0</v>
      </c>
      <c r="K200" s="103">
        <f t="shared" si="17"/>
        <v>-95000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340737</v>
      </c>
      <c r="C207" s="29">
        <f>SUM(C2:C205)</f>
        <v>7835443</v>
      </c>
      <c r="D207" s="29">
        <f>SUM(D2:D205)</f>
        <v>-7494706</v>
      </c>
      <c r="E207" s="11"/>
      <c r="F207" s="11"/>
      <c r="G207" s="11"/>
      <c r="H207" s="11"/>
      <c r="I207" s="29">
        <f>SUM(I2:I206)</f>
        <v>18810084081</v>
      </c>
      <c r="J207" s="29">
        <f>SUM(J2:J206)</f>
        <v>7989603743</v>
      </c>
      <c r="K207" s="29">
        <f>SUM(K2:K206)</f>
        <v>10820480338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21230343.206546277</v>
      </c>
      <c r="J210" s="29">
        <f>J207/G2</f>
        <v>9017611.4480812643</v>
      </c>
      <c r="K210" s="29">
        <f>K207/G2</f>
        <v>12212731.758465011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-6298067</v>
      </c>
      <c r="G214" t="s">
        <v>25</v>
      </c>
      <c r="J214">
        <f>J207/I207*1448696</f>
        <v>615335.20712756924</v>
      </c>
      <c r="K214">
        <f>K207/I207*1448696</f>
        <v>833360.79287243076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4071</v>
      </c>
      <c r="L19" t="s">
        <v>4072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4073</v>
      </c>
      <c r="M20" t="s">
        <v>4074</v>
      </c>
      <c r="N20" t="s">
        <v>4175</v>
      </c>
      <c r="O20" t="s">
        <v>4176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5" t="s">
        <v>25</v>
      </c>
      <c r="B104" s="176"/>
      <c r="C104" s="177"/>
      <c r="D104" s="175"/>
      <c r="E104" s="175"/>
      <c r="F104" s="175"/>
      <c r="G104" s="175"/>
    </row>
    <row r="105" spans="1:7" x14ac:dyDescent="0.25">
      <c r="A105" s="103" t="s">
        <v>4002</v>
      </c>
      <c r="B105" s="38">
        <f>SUM(B2:B103)</f>
        <v>59475793</v>
      </c>
      <c r="C105" s="73" t="s">
        <v>4001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3986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3986</v>
      </c>
      <c r="B178" s="38">
        <v>-100000</v>
      </c>
      <c r="C178" s="73" t="s">
        <v>3987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3995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3999</v>
      </c>
      <c r="B180" s="38">
        <v>-39030</v>
      </c>
      <c r="C180" s="73" t="s">
        <v>4000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4005</v>
      </c>
      <c r="B181" s="38">
        <v>-32000</v>
      </c>
      <c r="C181" s="73" t="s">
        <v>4006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4009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4011</v>
      </c>
      <c r="B183" s="38">
        <v>-20000</v>
      </c>
      <c r="C183" s="73" t="s">
        <v>4012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4015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4020</v>
      </c>
      <c r="B185" s="38">
        <v>-60100</v>
      </c>
      <c r="C185" s="73" t="s">
        <v>4021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4020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4037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4047</v>
      </c>
      <c r="B188" s="38">
        <v>-16000</v>
      </c>
      <c r="C188" s="73" t="s">
        <v>4048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4050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4056</v>
      </c>
      <c r="B190" s="38">
        <v>-10350</v>
      </c>
      <c r="C190" s="73" t="s">
        <v>4057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tabSelected="1" topLeftCell="F19" zoomScaleNormal="100" workbookViewId="0">
      <selection activeCell="N34" activeCellId="5" sqref="N19 N20 N29 N30 N33 N34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5.140625" bestFit="1" customWidth="1"/>
    <col min="52" max="52" width="32.2851562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1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-7494706</v>
      </c>
      <c r="P17" s="28"/>
      <c r="Q17" s="182">
        <v>74302282</v>
      </c>
      <c r="R17" s="181" t="s">
        <v>4041</v>
      </c>
      <c r="S17" s="181">
        <v>4</v>
      </c>
      <c r="T17" s="181" t="s">
        <v>4089</v>
      </c>
      <c r="U17" s="119"/>
      <c r="V17" s="119"/>
      <c r="W17" s="120"/>
      <c r="X17" s="119"/>
      <c r="Y17" s="119"/>
    </row>
    <row r="18" spans="1:51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3996</v>
      </c>
      <c r="K18" s="181" t="s">
        <v>683</v>
      </c>
      <c r="L18" s="121">
        <v>1000000</v>
      </c>
      <c r="M18" s="103" t="s">
        <v>4140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</row>
    <row r="19" spans="1:51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4096</v>
      </c>
      <c r="K19" s="181" t="s">
        <v>85</v>
      </c>
      <c r="L19" s="121">
        <f>-شهریور97!D74</f>
        <v>967345</v>
      </c>
      <c r="M19" s="181" t="s">
        <v>4241</v>
      </c>
      <c r="N19" s="117">
        <f>1608*P30</f>
        <v>5832216</v>
      </c>
      <c r="O19" s="179" t="s">
        <v>4042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4107</v>
      </c>
      <c r="AJ19" s="69" t="s">
        <v>4099</v>
      </c>
      <c r="AK19" s="69" t="s">
        <v>282</v>
      </c>
      <c r="AL19" s="103"/>
      <c r="AO19" s="103" t="s">
        <v>3674</v>
      </c>
      <c r="AP19" s="103" t="s">
        <v>180</v>
      </c>
      <c r="AQ19" s="103" t="s">
        <v>267</v>
      </c>
      <c r="AR19" s="103" t="s">
        <v>4107</v>
      </c>
      <c r="AS19" s="103" t="s">
        <v>4099</v>
      </c>
      <c r="AT19" s="103" t="s">
        <v>8</v>
      </c>
      <c r="AU19" s="103" t="s">
        <v>282</v>
      </c>
      <c r="AV19" s="103"/>
      <c r="AW19" s="103"/>
      <c r="AX19" s="103"/>
      <c r="AY19" s="103"/>
    </row>
    <row r="20" spans="1:51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L49</f>
        <v>97910547</v>
      </c>
      <c r="G20" s="29">
        <f t="shared" si="0"/>
        <v>10155305.23819311</v>
      </c>
      <c r="H20" s="11" t="s">
        <v>4256</v>
      </c>
      <c r="K20" s="181"/>
      <c r="L20" s="121"/>
      <c r="M20" s="181" t="s">
        <v>4242</v>
      </c>
      <c r="N20" s="117">
        <f>109*P34</f>
        <v>56233.1</v>
      </c>
      <c r="O20" s="193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160</v>
      </c>
      <c r="AK20" s="117">
        <f>AH20*AJ20</f>
        <v>2880000000</v>
      </c>
      <c r="AL20" s="103"/>
      <c r="AO20" s="103">
        <v>1</v>
      </c>
      <c r="AP20" s="103" t="s">
        <v>4173</v>
      </c>
      <c r="AQ20" s="117">
        <v>26219</v>
      </c>
      <c r="AR20" s="103">
        <v>1</v>
      </c>
      <c r="AS20" s="103">
        <f>AS21+AR20</f>
        <v>3</v>
      </c>
      <c r="AT20" s="103" t="s">
        <v>4001</v>
      </c>
      <c r="AU20" s="117">
        <f>AQ20*AS20</f>
        <v>78657</v>
      </c>
      <c r="AV20" s="103"/>
      <c r="AW20" s="103"/>
      <c r="AX20" s="103"/>
      <c r="AY20" s="103"/>
    </row>
    <row r="21" spans="1:51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110000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159</v>
      </c>
      <c r="AK21" s="117">
        <f t="shared" ref="AK21:AK69" si="5">AH21*AJ21</f>
        <v>397500000</v>
      </c>
      <c r="AL21" s="103"/>
      <c r="AO21" s="103">
        <v>2</v>
      </c>
      <c r="AP21" s="103" t="s">
        <v>4185</v>
      </c>
      <c r="AQ21" s="117">
        <v>293700</v>
      </c>
      <c r="AR21" s="103">
        <v>1</v>
      </c>
      <c r="AS21" s="103">
        <f t="shared" ref="AS21:AS34" si="6">AS22+AR21</f>
        <v>2</v>
      </c>
      <c r="AT21" s="103" t="s">
        <v>4235</v>
      </c>
      <c r="AU21" s="117">
        <f t="shared" ref="AU21:AU32" si="7">AQ21*AS21</f>
        <v>587400</v>
      </c>
      <c r="AV21" s="103"/>
      <c r="AW21" s="103"/>
      <c r="AX21" s="103"/>
      <c r="AY21" s="103"/>
    </row>
    <row r="22" spans="1:51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758</v>
      </c>
      <c r="N22" s="117">
        <f>-1*L19</f>
        <v>-967345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158</v>
      </c>
      <c r="AK22" s="117">
        <f t="shared" si="5"/>
        <v>1264000000</v>
      </c>
      <c r="AL22" s="103"/>
      <c r="AO22" s="103">
        <v>3</v>
      </c>
      <c r="AP22" s="103" t="s">
        <v>4209</v>
      </c>
      <c r="AQ22" s="117">
        <v>4701100</v>
      </c>
      <c r="AR22" s="103">
        <v>1</v>
      </c>
      <c r="AS22" s="103">
        <f t="shared" si="6"/>
        <v>1</v>
      </c>
      <c r="AT22" s="103" t="s">
        <v>4236</v>
      </c>
      <c r="AU22" s="117">
        <f t="shared" si="7"/>
        <v>4701100</v>
      </c>
      <c r="AV22" s="103"/>
      <c r="AW22" s="103"/>
      <c r="AX22" s="103"/>
      <c r="AY22" s="103"/>
    </row>
    <row r="23" spans="1:51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920</v>
      </c>
      <c r="L23" s="121">
        <v>4800000</v>
      </c>
      <c r="M23" s="181" t="s">
        <v>754</v>
      </c>
      <c r="N23" s="117">
        <v>2000000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4103</v>
      </c>
      <c r="AH23" s="117">
        <v>-79552</v>
      </c>
      <c r="AI23" s="103">
        <v>1</v>
      </c>
      <c r="AJ23" s="103">
        <f t="shared" si="4"/>
        <v>157</v>
      </c>
      <c r="AK23" s="117">
        <f t="shared" si="5"/>
        <v>-12489664</v>
      </c>
      <c r="AL23" s="103"/>
      <c r="AO23" s="103">
        <v>4</v>
      </c>
      <c r="AP23" s="103"/>
      <c r="AQ23" s="117"/>
      <c r="AR23" s="103"/>
      <c r="AS23" s="103">
        <f t="shared" si="6"/>
        <v>0</v>
      </c>
      <c r="AT23" s="103"/>
      <c r="AU23" s="117">
        <f t="shared" si="7"/>
        <v>0</v>
      </c>
      <c r="AV23" s="103"/>
      <c r="AW23" s="103"/>
      <c r="AX23" s="103"/>
      <c r="AY23" s="103"/>
    </row>
    <row r="24" spans="1:51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931</v>
      </c>
      <c r="L24" s="121">
        <v>0</v>
      </c>
      <c r="M24" s="181" t="s">
        <v>762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156</v>
      </c>
      <c r="AK24" s="117">
        <f t="shared" si="5"/>
        <v>25818000</v>
      </c>
      <c r="AL24" s="103"/>
      <c r="AO24" s="103">
        <v>5</v>
      </c>
      <c r="AP24" s="103"/>
      <c r="AQ24" s="117"/>
      <c r="AR24" s="103"/>
      <c r="AS24" s="103">
        <f t="shared" si="6"/>
        <v>0</v>
      </c>
      <c r="AT24" s="103"/>
      <c r="AU24" s="117">
        <f t="shared" si="7"/>
        <v>0</v>
      </c>
      <c r="AV24" s="103"/>
      <c r="AW24" s="103"/>
      <c r="AX24" s="103"/>
      <c r="AY24" s="103"/>
    </row>
    <row r="25" spans="1:51" ht="60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1092</v>
      </c>
      <c r="L25" s="121">
        <f>سکه!T22</f>
        <v>91000000</v>
      </c>
      <c r="M25" s="73" t="s">
        <v>3998</v>
      </c>
      <c r="N25" s="117">
        <v>4000000</v>
      </c>
      <c r="O25" s="22" t="s">
        <v>4116</v>
      </c>
      <c r="W25" s="103"/>
      <c r="X25" s="103"/>
      <c r="Y25" s="103"/>
      <c r="Z25" s="103"/>
      <c r="AA25" s="103" t="s">
        <v>4087</v>
      </c>
      <c r="AB25" s="185">
        <v>183.1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144</v>
      </c>
      <c r="AK25" s="117">
        <f t="shared" si="5"/>
        <v>-4151567088</v>
      </c>
      <c r="AL25" s="103"/>
      <c r="AO25" s="103">
        <v>6</v>
      </c>
      <c r="AP25" s="103"/>
      <c r="AQ25" s="117"/>
      <c r="AR25" s="103"/>
      <c r="AS25" s="103">
        <f t="shared" si="6"/>
        <v>0</v>
      </c>
      <c r="AT25" s="103"/>
      <c r="AU25" s="117">
        <f t="shared" si="7"/>
        <v>0</v>
      </c>
      <c r="AV25" s="103"/>
      <c r="AW25" s="103"/>
      <c r="AX25" s="103"/>
      <c r="AY25" s="103"/>
    </row>
    <row r="26" spans="1:51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/>
      <c r="L26" s="121"/>
      <c r="M26" s="181" t="s">
        <v>1092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4088</v>
      </c>
      <c r="AB26" s="185">
        <v>3635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138</v>
      </c>
      <c r="AK26" s="117">
        <f t="shared" si="5"/>
        <v>2553000000</v>
      </c>
      <c r="AL26" s="103"/>
      <c r="AO26" s="103">
        <v>7</v>
      </c>
      <c r="AP26" s="103"/>
      <c r="AQ26" s="117"/>
      <c r="AR26" s="103"/>
      <c r="AS26" s="103">
        <f t="shared" si="6"/>
        <v>0</v>
      </c>
      <c r="AT26" s="103" t="s">
        <v>25</v>
      </c>
      <c r="AU26" s="117">
        <f t="shared" si="7"/>
        <v>0</v>
      </c>
      <c r="AV26" s="103"/>
      <c r="AW26" s="103"/>
      <c r="AX26" s="103"/>
      <c r="AY26" s="103"/>
    </row>
    <row r="27" spans="1:51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4139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137</v>
      </c>
      <c r="AK27" s="117">
        <f t="shared" si="5"/>
        <v>-2541350000</v>
      </c>
      <c r="AL27" s="103"/>
      <c r="AO27" s="103">
        <v>8</v>
      </c>
      <c r="AP27" s="103"/>
      <c r="AQ27" s="117"/>
      <c r="AR27" s="103"/>
      <c r="AS27" s="103">
        <f t="shared" si="6"/>
        <v>0</v>
      </c>
      <c r="AT27" s="103"/>
      <c r="AU27" s="117">
        <f t="shared" si="7"/>
        <v>0</v>
      </c>
      <c r="AV27" s="103"/>
      <c r="AW27" s="103"/>
      <c r="AX27" s="103"/>
      <c r="AY27" s="103"/>
    </row>
    <row r="28" spans="1:51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/>
      <c r="N28" s="117"/>
      <c r="O28" s="100"/>
      <c r="P28" s="100"/>
      <c r="Q28" s="38">
        <v>2458039</v>
      </c>
      <c r="R28" s="116" t="s">
        <v>3948</v>
      </c>
      <c r="S28" s="116">
        <v>63</v>
      </c>
      <c r="T28" s="73" t="s">
        <v>4033</v>
      </c>
      <c r="U28" s="117">
        <f>Q28*0.02*S28/31</f>
        <v>99907.39161290323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136</v>
      </c>
      <c r="AK28" s="117">
        <f t="shared" si="5"/>
        <v>-8834696</v>
      </c>
      <c r="AL28" s="103"/>
      <c r="AO28" s="103">
        <v>9</v>
      </c>
      <c r="AP28" s="103"/>
      <c r="AQ28" s="117"/>
      <c r="AR28" s="103"/>
      <c r="AS28" s="103">
        <f t="shared" si="6"/>
        <v>0</v>
      </c>
      <c r="AT28" s="103"/>
      <c r="AU28" s="117">
        <f t="shared" si="7"/>
        <v>0</v>
      </c>
      <c r="AV28" s="103"/>
      <c r="AW28" s="103"/>
      <c r="AX28" s="103"/>
      <c r="AY28" s="103"/>
    </row>
    <row r="29" spans="1:51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3923</v>
      </c>
      <c r="N29" s="117">
        <v>4017</v>
      </c>
      <c r="O29" s="103" t="s">
        <v>940</v>
      </c>
      <c r="P29" s="103" t="s">
        <v>3965</v>
      </c>
      <c r="Q29" s="38">
        <v>18766862</v>
      </c>
      <c r="R29" s="116" t="s">
        <v>4041</v>
      </c>
      <c r="S29" s="116">
        <f>S28-27</f>
        <v>36</v>
      </c>
      <c r="T29" s="116" t="s">
        <v>4215</v>
      </c>
      <c r="U29" s="117">
        <f t="shared" ref="U29:U32" si="8">Q29*0.02*S29/31</f>
        <v>435875.50451612903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131</v>
      </c>
      <c r="AK29" s="117">
        <f t="shared" si="5"/>
        <v>838400000</v>
      </c>
      <c r="AL29" s="103"/>
      <c r="AO29" s="103">
        <v>10</v>
      </c>
      <c r="AP29" s="103"/>
      <c r="AQ29" s="117"/>
      <c r="AR29" s="103"/>
      <c r="AS29" s="103">
        <f t="shared" si="6"/>
        <v>0</v>
      </c>
      <c r="AT29" s="103"/>
      <c r="AU29" s="117">
        <f t="shared" si="7"/>
        <v>0</v>
      </c>
      <c r="AV29" s="103"/>
      <c r="AW29" s="103"/>
      <c r="AX29" s="103"/>
      <c r="AY29" s="103"/>
    </row>
    <row r="30" spans="1:51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4017</v>
      </c>
      <c r="N30" s="117">
        <f>O30*P30</f>
        <v>21856302</v>
      </c>
      <c r="O30" s="103">
        <v>6026</v>
      </c>
      <c r="P30" s="103">
        <v>3627</v>
      </c>
      <c r="Q30" s="182">
        <v>4940129</v>
      </c>
      <c r="R30" s="181" t="s">
        <v>4185</v>
      </c>
      <c r="S30" s="181">
        <f>S29-33</f>
        <v>3</v>
      </c>
      <c r="T30" s="181" t="s">
        <v>4211</v>
      </c>
      <c r="U30" s="117">
        <f t="shared" si="8"/>
        <v>9561.5399999999991</v>
      </c>
      <c r="V30" s="26"/>
      <c r="W30" s="103"/>
      <c r="X30" s="103" t="s">
        <v>4120</v>
      </c>
      <c r="Y30" s="103" t="s">
        <v>4121</v>
      </c>
      <c r="Z30" s="103" t="s">
        <v>940</v>
      </c>
      <c r="AA30" s="103" t="s">
        <v>4122</v>
      </c>
      <c r="AB30" s="103"/>
      <c r="AC30" s="103"/>
      <c r="AD30" s="103"/>
      <c r="AF30" s="103">
        <v>11</v>
      </c>
      <c r="AG30" s="117" t="s">
        <v>4104</v>
      </c>
      <c r="AH30" s="117">
        <v>-170000</v>
      </c>
      <c r="AI30" s="103">
        <v>5</v>
      </c>
      <c r="AJ30" s="103">
        <f t="shared" si="4"/>
        <v>130</v>
      </c>
      <c r="AK30" s="117">
        <f t="shared" si="5"/>
        <v>-22100000</v>
      </c>
      <c r="AL30" s="103"/>
      <c r="AO30" s="103">
        <v>11</v>
      </c>
      <c r="AP30" s="103"/>
      <c r="AQ30" s="117"/>
      <c r="AR30" s="103"/>
      <c r="AS30" s="103">
        <f t="shared" si="6"/>
        <v>0</v>
      </c>
      <c r="AT30" s="103"/>
      <c r="AU30" s="117">
        <f t="shared" si="7"/>
        <v>0</v>
      </c>
      <c r="AV30" s="103"/>
      <c r="AW30" s="103"/>
      <c r="AX30" s="103"/>
      <c r="AY30" s="103"/>
    </row>
    <row r="31" spans="1:51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4126</v>
      </c>
      <c r="N31" s="117">
        <f>O31*P31</f>
        <v>0</v>
      </c>
      <c r="O31" s="103">
        <v>0</v>
      </c>
      <c r="P31" s="103">
        <v>183.1</v>
      </c>
      <c r="Q31" s="173">
        <v>944261</v>
      </c>
      <c r="R31" s="8" t="s">
        <v>4185</v>
      </c>
      <c r="S31" s="41">
        <f>S30</f>
        <v>3</v>
      </c>
      <c r="T31" s="8" t="s">
        <v>4203</v>
      </c>
      <c r="U31" s="117">
        <f t="shared" si="8"/>
        <v>1827.6019354838711</v>
      </c>
      <c r="V31" s="26"/>
      <c r="W31" s="103" t="s">
        <v>4130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>AJ32+AI31</f>
        <v>125</v>
      </c>
      <c r="AK31" s="117">
        <f t="shared" si="5"/>
        <v>-787500000</v>
      </c>
      <c r="AL31" s="103"/>
      <c r="AO31" s="103">
        <v>12</v>
      </c>
      <c r="AP31" s="103"/>
      <c r="AQ31" s="117"/>
      <c r="AR31" s="103"/>
      <c r="AS31" s="103">
        <f t="shared" si="6"/>
        <v>0</v>
      </c>
      <c r="AT31" s="103"/>
      <c r="AU31" s="117">
        <f t="shared" si="7"/>
        <v>0</v>
      </c>
      <c r="AV31" s="103"/>
      <c r="AW31" s="103"/>
      <c r="AX31" s="103"/>
      <c r="AY31" s="103"/>
    </row>
    <row r="32" spans="1:51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4194</v>
      </c>
      <c r="N32" s="117">
        <f>O32*P32</f>
        <v>91013768</v>
      </c>
      <c r="O32" s="103">
        <v>8951</v>
      </c>
      <c r="P32" s="103">
        <v>10168</v>
      </c>
      <c r="Q32" s="38">
        <v>12983567</v>
      </c>
      <c r="R32" s="116" t="s">
        <v>4209</v>
      </c>
      <c r="S32" s="116">
        <f>S31-1</f>
        <v>2</v>
      </c>
      <c r="T32" s="116" t="s">
        <v>4219</v>
      </c>
      <c r="U32" s="117">
        <f t="shared" si="8"/>
        <v>16752.989677419355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9">Y32*Z32</f>
        <v>5257199.6422538012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124</v>
      </c>
      <c r="AK32" s="117">
        <f t="shared" si="5"/>
        <v>-6449860</v>
      </c>
      <c r="AL32" s="103"/>
      <c r="AO32" s="103">
        <v>13</v>
      </c>
      <c r="AP32" s="103"/>
      <c r="AQ32" s="117"/>
      <c r="AR32" s="103"/>
      <c r="AS32" s="103">
        <f t="shared" si="6"/>
        <v>0</v>
      </c>
      <c r="AT32" s="103"/>
      <c r="AU32" s="117">
        <f t="shared" si="7"/>
        <v>0</v>
      </c>
      <c r="AV32" s="103"/>
      <c r="AW32" s="103"/>
      <c r="AX32" s="103"/>
      <c r="AY32" s="103"/>
    </row>
    <row r="33" spans="1:53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 t="s">
        <v>4186</v>
      </c>
      <c r="N33" s="117">
        <f>O33*P33</f>
        <v>5205096</v>
      </c>
      <c r="O33" s="174">
        <v>936</v>
      </c>
      <c r="P33" s="69">
        <v>5561</v>
      </c>
      <c r="Q33" s="182">
        <v>53805</v>
      </c>
      <c r="R33" s="116" t="s">
        <v>4249</v>
      </c>
      <c r="S33" s="116">
        <f>S32-1</f>
        <v>1</v>
      </c>
      <c r="T33" s="116" t="s">
        <v>4250</v>
      </c>
      <c r="U33" s="117">
        <f t="shared" ref="U33:U34" si="10">Q33*0.02*S33/31</f>
        <v>34.71290322580645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108</v>
      </c>
      <c r="AK33" s="117">
        <f t="shared" si="5"/>
        <v>2161879200</v>
      </c>
      <c r="AL33" s="103"/>
      <c r="AO33" s="103">
        <v>14</v>
      </c>
      <c r="AP33" s="103"/>
      <c r="AQ33" s="117"/>
      <c r="AR33" s="103"/>
      <c r="AS33" s="103">
        <f t="shared" si="6"/>
        <v>0</v>
      </c>
      <c r="AT33" s="103"/>
      <c r="AU33" s="117"/>
      <c r="AV33" s="103"/>
      <c r="AW33" s="103"/>
      <c r="AX33" s="103"/>
      <c r="AY33" s="103"/>
    </row>
    <row r="34" spans="1:53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1" t="s">
        <v>4248</v>
      </c>
      <c r="N34" s="117">
        <f>O34*P34</f>
        <v>56233.1</v>
      </c>
      <c r="O34" s="194">
        <v>109</v>
      </c>
      <c r="P34" s="103">
        <v>515.9</v>
      </c>
      <c r="Q34" s="182">
        <v>74499487</v>
      </c>
      <c r="R34" s="181" t="s">
        <v>4249</v>
      </c>
      <c r="S34" s="181">
        <f>S33</f>
        <v>1</v>
      </c>
      <c r="T34" s="181" t="s">
        <v>4251</v>
      </c>
      <c r="U34" s="173">
        <f t="shared" si="10"/>
        <v>48064.185161290319</v>
      </c>
      <c r="W34" s="103"/>
      <c r="X34" s="103" t="s">
        <v>4123</v>
      </c>
      <c r="Y34" s="103" t="s">
        <v>4121</v>
      </c>
      <c r="Z34" s="103"/>
      <c r="AA34" s="103" t="s">
        <v>4125</v>
      </c>
      <c r="AB34" s="103"/>
      <c r="AC34" s="103"/>
      <c r="AD34" s="103" t="s">
        <v>4124</v>
      </c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108</v>
      </c>
      <c r="AK34" s="117">
        <f t="shared" si="5"/>
        <v>109562328</v>
      </c>
      <c r="AL34" s="103"/>
      <c r="AO34" s="103">
        <v>15</v>
      </c>
      <c r="AP34" s="103"/>
      <c r="AQ34" s="117"/>
      <c r="AR34" s="103"/>
      <c r="AS34" s="103">
        <f t="shared" si="6"/>
        <v>0</v>
      </c>
      <c r="AT34" s="103"/>
      <c r="AU34" s="117"/>
      <c r="AV34" s="103"/>
      <c r="AW34" s="103"/>
      <c r="AX34" s="103"/>
      <c r="AY34" s="103"/>
    </row>
    <row r="35" spans="1:53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1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>
        <v>218928</v>
      </c>
      <c r="R35" s="116" t="s">
        <v>4246</v>
      </c>
      <c r="S35" s="116">
        <f>S34-1</f>
        <v>0</v>
      </c>
      <c r="T35" s="116" t="s">
        <v>4247</v>
      </c>
      <c r="W35" s="103" t="s">
        <v>4130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18195396.342632912</v>
      </c>
      <c r="AC35" s="103">
        <f>AB35/($AB$26*(1+$X$42))</f>
        <v>4981.2032026927518</v>
      </c>
      <c r="AD35" s="103">
        <f>AC35-Z31</f>
        <v>-95.796797307248198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96</v>
      </c>
      <c r="AK35" s="117">
        <f t="shared" si="5"/>
        <v>34560000</v>
      </c>
      <c r="AL35" s="103"/>
      <c r="AO35" s="103">
        <v>16</v>
      </c>
      <c r="AP35" s="103"/>
      <c r="AQ35" s="117"/>
      <c r="AR35" s="103"/>
      <c r="AS35" s="103"/>
      <c r="AT35" s="103"/>
      <c r="AU35" s="117"/>
      <c r="AV35" s="103"/>
      <c r="AW35" s="103"/>
      <c r="AX35" s="103"/>
      <c r="AY35" s="103"/>
    </row>
    <row r="36" spans="1:53" x14ac:dyDescent="0.25">
      <c r="A36" s="61">
        <v>98</v>
      </c>
      <c r="B36" s="11">
        <v>34</v>
      </c>
      <c r="C36" s="3">
        <f t="shared" ref="C36:C62" si="12">C35*$K$2</f>
        <v>4498230.5822681794</v>
      </c>
      <c r="D36" s="3">
        <f t="shared" ref="D36:D62" si="13">D35*$K$2</f>
        <v>3654042.1031301799</v>
      </c>
      <c r="E36" s="3">
        <f t="shared" si="11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82"/>
      <c r="R36" s="181"/>
      <c r="S36" s="181"/>
      <c r="T36" s="181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94</v>
      </c>
      <c r="AK36" s="117">
        <f t="shared" si="5"/>
        <v>-32900000</v>
      </c>
      <c r="AL36" s="103"/>
      <c r="AO36" s="103">
        <v>17</v>
      </c>
      <c r="AP36" s="103"/>
      <c r="AQ36" s="117"/>
      <c r="AR36" s="103"/>
      <c r="AS36" s="103"/>
      <c r="AT36" s="103"/>
      <c r="AU36" s="117"/>
      <c r="AV36" s="103"/>
      <c r="AW36" s="103"/>
      <c r="AX36" s="103"/>
      <c r="AY36" s="103"/>
    </row>
    <row r="37" spans="1:53" x14ac:dyDescent="0.25">
      <c r="A37" s="61">
        <v>98</v>
      </c>
      <c r="B37" s="11">
        <v>35</v>
      </c>
      <c r="C37" s="3">
        <f t="shared" si="12"/>
        <v>4543212.888090861</v>
      </c>
      <c r="D37" s="3">
        <f t="shared" si="13"/>
        <v>3690582.5241614818</v>
      </c>
      <c r="E37" s="3">
        <f t="shared" si="11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03"/>
      <c r="R37" s="103"/>
      <c r="S37" s="103"/>
      <c r="T37" s="103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4">Y37*Z37</f>
        <v>5261920.8896799991</v>
      </c>
      <c r="AB37" s="91">
        <f>$AB$25*Z37/(1+$X$41)</f>
        <v>5866732.8828381198</v>
      </c>
      <c r="AC37" s="103">
        <f>AB37/($AB$26*(1+$X$42))</f>
        <v>1606.0869505141779</v>
      </c>
      <c r="AD37" s="103">
        <f>AC37-Z32</f>
        <v>-1.9130494858220572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94</v>
      </c>
      <c r="AK37" s="117">
        <f t="shared" si="5"/>
        <v>94000</v>
      </c>
      <c r="AL37" s="103"/>
      <c r="AO37" s="103">
        <v>18</v>
      </c>
      <c r="AP37" s="103"/>
      <c r="AQ37" s="117"/>
      <c r="AR37" s="103"/>
      <c r="AS37" s="103"/>
      <c r="AT37" s="103"/>
      <c r="AU37" s="117"/>
      <c r="AV37" s="103"/>
      <c r="AW37" s="103"/>
      <c r="AX37" s="103"/>
      <c r="AY37" s="103"/>
    </row>
    <row r="38" spans="1:53" x14ac:dyDescent="0.25">
      <c r="A38" s="61">
        <v>98</v>
      </c>
      <c r="B38" s="11">
        <v>36</v>
      </c>
      <c r="C38" s="3">
        <f t="shared" si="12"/>
        <v>4588645.0169717697</v>
      </c>
      <c r="D38" s="3">
        <f t="shared" si="13"/>
        <v>3727488.3494030968</v>
      </c>
      <c r="E38" s="46">
        <f t="shared" si="11"/>
        <v>171221508.29573494</v>
      </c>
      <c r="F38" s="3"/>
      <c r="G38" s="11"/>
      <c r="H38" s="11"/>
      <c r="K38" s="103"/>
      <c r="L38" s="103"/>
      <c r="M38" s="73"/>
      <c r="N38" s="121"/>
      <c r="Q38" s="182"/>
      <c r="R38" s="181"/>
      <c r="S38" s="181"/>
      <c r="T38" s="181"/>
      <c r="U38" s="100"/>
      <c r="Y38" t="s">
        <v>4160</v>
      </c>
      <c r="Z38">
        <f>Z35+Z36+Z37</f>
        <v>132243.14931508194</v>
      </c>
      <c r="AA38">
        <f>Z38*P31</f>
        <v>24213720.639591504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93</v>
      </c>
      <c r="AK38" s="117">
        <f t="shared" si="5"/>
        <v>3125730000</v>
      </c>
      <c r="AL38" s="103"/>
      <c r="AO38" s="103">
        <v>19</v>
      </c>
      <c r="AP38" s="103"/>
      <c r="AQ38" s="117"/>
      <c r="AR38" s="103"/>
      <c r="AS38" s="103"/>
      <c r="AT38" s="103"/>
      <c r="AU38" s="117"/>
      <c r="AV38" s="103"/>
      <c r="AW38" s="103"/>
      <c r="AX38" s="103"/>
      <c r="AY38" s="103"/>
    </row>
    <row r="39" spans="1:53" x14ac:dyDescent="0.25">
      <c r="A39" s="62">
        <v>99</v>
      </c>
      <c r="B39" s="11">
        <v>37</v>
      </c>
      <c r="C39" s="44">
        <f t="shared" si="12"/>
        <v>4634531.4671414876</v>
      </c>
      <c r="D39" s="3">
        <f t="shared" si="13"/>
        <v>3764763.232897128</v>
      </c>
      <c r="E39" s="3">
        <f t="shared" si="11"/>
        <v>175515706.695894</v>
      </c>
      <c r="F39" s="3"/>
      <c r="G39" s="11"/>
      <c r="H39" s="11"/>
      <c r="K39" s="103"/>
      <c r="L39" s="103"/>
      <c r="M39" s="73"/>
      <c r="N39" s="121"/>
      <c r="O39" s="100"/>
      <c r="Q39" s="181"/>
      <c r="R39" s="181"/>
      <c r="S39" s="181"/>
      <c r="T39" s="181"/>
      <c r="U39" s="100"/>
      <c r="Y39" t="s">
        <v>4161</v>
      </c>
      <c r="Z39">
        <f>Z35</f>
        <v>100000.14931508193</v>
      </c>
      <c r="AA39">
        <f>Z39*P31</f>
        <v>18310027.339591499</v>
      </c>
      <c r="AB39" t="s">
        <v>25</v>
      </c>
      <c r="AF39" s="103">
        <v>20</v>
      </c>
      <c r="AG39" s="117" t="s">
        <v>4105</v>
      </c>
      <c r="AH39" s="117">
        <v>-15600000</v>
      </c>
      <c r="AI39" s="103">
        <v>3</v>
      </c>
      <c r="AJ39" s="103">
        <f t="shared" si="4"/>
        <v>89</v>
      </c>
      <c r="AK39" s="117">
        <f t="shared" si="5"/>
        <v>-1388400000</v>
      </c>
      <c r="AL39" s="103"/>
      <c r="AO39" s="103">
        <v>20</v>
      </c>
      <c r="AP39" s="103"/>
      <c r="AQ39" s="117"/>
      <c r="AR39" s="103"/>
      <c r="AS39" s="103"/>
      <c r="AT39" s="103"/>
      <c r="AU39" s="117"/>
      <c r="AV39" s="103"/>
      <c r="AW39" s="103"/>
      <c r="AX39" s="103"/>
      <c r="AY39" s="103"/>
    </row>
    <row r="40" spans="1:53" x14ac:dyDescent="0.25">
      <c r="A40" s="62">
        <v>99</v>
      </c>
      <c r="B40" s="11">
        <v>38</v>
      </c>
      <c r="C40" s="44">
        <f t="shared" si="12"/>
        <v>4680876.7818129025</v>
      </c>
      <c r="D40" s="3">
        <f t="shared" si="13"/>
        <v>3802410.8652260993</v>
      </c>
      <c r="E40" s="3">
        <f t="shared" si="11"/>
        <v>179904486.74639872</v>
      </c>
      <c r="F40" s="3"/>
      <c r="G40" s="11"/>
      <c r="H40" s="11"/>
      <c r="K40" s="103"/>
      <c r="L40" s="103"/>
      <c r="M40" s="181" t="s">
        <v>1180</v>
      </c>
      <c r="N40" s="121">
        <v>19468899</v>
      </c>
      <c r="O40" s="100" t="s">
        <v>25</v>
      </c>
      <c r="P40" t="s">
        <v>25</v>
      </c>
      <c r="Q40" s="117">
        <f>SUM(N30:N34)-SUM(Q28:Q36)</f>
        <v>3266321.099999994</v>
      </c>
      <c r="R40" s="116"/>
      <c r="S40" s="116"/>
      <c r="T40" s="116"/>
      <c r="U40" s="100"/>
      <c r="Y40" t="s">
        <v>4162</v>
      </c>
      <c r="Z40">
        <v>949</v>
      </c>
      <c r="AA40">
        <f>Z40*P30</f>
        <v>3442023</v>
      </c>
      <c r="AB40" t="s">
        <v>25</v>
      </c>
      <c r="AD40" s="100" t="s">
        <v>25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86</v>
      </c>
      <c r="AK40" s="117">
        <f t="shared" si="5"/>
        <v>645000000</v>
      </c>
      <c r="AL40" s="103"/>
      <c r="AO40" s="103">
        <v>21</v>
      </c>
      <c r="AP40" s="103"/>
      <c r="AQ40" s="103"/>
      <c r="AR40" s="103"/>
      <c r="AS40" s="103"/>
      <c r="AT40" s="103"/>
      <c r="AU40" s="117"/>
      <c r="AV40" s="103"/>
      <c r="AW40" s="103"/>
      <c r="AX40" s="103"/>
      <c r="AY40" s="103"/>
    </row>
    <row r="41" spans="1:53" x14ac:dyDescent="0.25">
      <c r="A41" s="62">
        <v>99</v>
      </c>
      <c r="B41" s="11">
        <v>39</v>
      </c>
      <c r="C41" s="44">
        <f t="shared" si="12"/>
        <v>4727685.5496310312</v>
      </c>
      <c r="D41" s="3">
        <f t="shared" si="13"/>
        <v>3840434.9738783604</v>
      </c>
      <c r="E41" s="3">
        <f t="shared" si="11"/>
        <v>184389827.05707937</v>
      </c>
      <c r="F41" s="3"/>
      <c r="G41" s="11"/>
      <c r="H41" s="11"/>
      <c r="K41" s="103"/>
      <c r="L41" s="103"/>
      <c r="M41" s="181" t="s">
        <v>1181</v>
      </c>
      <c r="N41" s="121">
        <v>7637</v>
      </c>
      <c r="O41" s="100"/>
      <c r="U41" s="100"/>
      <c r="W41" t="s">
        <v>952</v>
      </c>
      <c r="X41">
        <v>6.3E-3</v>
      </c>
      <c r="Y41" t="s">
        <v>4163</v>
      </c>
      <c r="Z41" s="118">
        <f>SUM(N29:N35)</f>
        <v>118135416.09999999</v>
      </c>
      <c r="AA41" t="s">
        <v>25</v>
      </c>
      <c r="AF41" s="103">
        <v>22</v>
      </c>
      <c r="AG41" s="117" t="s">
        <v>4106</v>
      </c>
      <c r="AH41" s="117">
        <v>-98000</v>
      </c>
      <c r="AI41" s="103">
        <v>1</v>
      </c>
      <c r="AJ41" s="103">
        <f t="shared" si="4"/>
        <v>82</v>
      </c>
      <c r="AK41" s="117">
        <f t="shared" si="5"/>
        <v>-8036000</v>
      </c>
      <c r="AL41" s="103"/>
      <c r="AO41" s="103">
        <v>22</v>
      </c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3" x14ac:dyDescent="0.25">
      <c r="A42" s="62">
        <v>99</v>
      </c>
      <c r="B42" s="11">
        <v>40</v>
      </c>
      <c r="C42" s="49">
        <f t="shared" si="12"/>
        <v>4774962.4051273419</v>
      </c>
      <c r="D42" s="3">
        <f t="shared" si="13"/>
        <v>3878839.323617144</v>
      </c>
      <c r="E42" s="3">
        <f t="shared" si="11"/>
        <v>188973746.67973119</v>
      </c>
      <c r="F42" s="3"/>
      <c r="G42" s="11"/>
      <c r="H42" s="11"/>
      <c r="K42" s="181"/>
      <c r="L42" s="121"/>
      <c r="M42" s="181" t="s">
        <v>4225</v>
      </c>
      <c r="N42" s="117">
        <f>-O42*P32</f>
        <v>-28470400</v>
      </c>
      <c r="O42" s="103">
        <v>2800</v>
      </c>
      <c r="P42" s="103">
        <f>P32</f>
        <v>10168</v>
      </c>
      <c r="U42" s="100"/>
      <c r="W42" t="s">
        <v>1022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4100</v>
      </c>
      <c r="AH42" s="117">
        <v>-26000000</v>
      </c>
      <c r="AI42" s="103">
        <v>0</v>
      </c>
      <c r="AJ42" s="103">
        <f t="shared" si="4"/>
        <v>81</v>
      </c>
      <c r="AK42" s="117">
        <f t="shared" si="5"/>
        <v>-2106000000</v>
      </c>
      <c r="AL42" s="103"/>
      <c r="AO42" s="103">
        <v>23</v>
      </c>
      <c r="AP42" s="103"/>
      <c r="AQ42" s="99">
        <f>SUM(AQ20:AQ39)</f>
        <v>5021019</v>
      </c>
      <c r="AR42" s="103"/>
      <c r="AS42" s="103"/>
      <c r="AT42" s="103"/>
      <c r="AU42" s="99">
        <f>SUM(AU20:AU39)</f>
        <v>5367157</v>
      </c>
      <c r="AV42" s="103"/>
      <c r="AW42" s="103"/>
      <c r="AX42" s="103"/>
      <c r="AY42" s="103"/>
    </row>
    <row r="43" spans="1:53" x14ac:dyDescent="0.25">
      <c r="A43" s="62">
        <v>99</v>
      </c>
      <c r="B43" s="11">
        <v>41</v>
      </c>
      <c r="C43" s="49">
        <f t="shared" si="12"/>
        <v>4822712.0291786157</v>
      </c>
      <c r="D43" s="3">
        <f t="shared" si="13"/>
        <v>3917627.7168533155</v>
      </c>
      <c r="E43" s="3">
        <f t="shared" si="11"/>
        <v>193658305.9256511</v>
      </c>
      <c r="F43" s="3"/>
      <c r="G43" s="11"/>
      <c r="H43" s="11"/>
      <c r="K43" s="181" t="s">
        <v>25</v>
      </c>
      <c r="L43" s="121"/>
      <c r="M43" s="181" t="s">
        <v>4228</v>
      </c>
      <c r="N43" s="117">
        <f>-O43*P43</f>
        <v>-7394548</v>
      </c>
      <c r="O43" s="103">
        <v>28</v>
      </c>
      <c r="P43" s="103">
        <v>264091</v>
      </c>
      <c r="Q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4100</v>
      </c>
      <c r="AH43" s="117">
        <v>25000000</v>
      </c>
      <c r="AI43" s="103">
        <v>1</v>
      </c>
      <c r="AJ43" s="103">
        <f t="shared" si="4"/>
        <v>81</v>
      </c>
      <c r="AK43" s="117">
        <f t="shared" si="5"/>
        <v>2025000000</v>
      </c>
      <c r="AL43" s="103"/>
      <c r="AQ43" t="s">
        <v>947</v>
      </c>
      <c r="AU43" t="s">
        <v>4195</v>
      </c>
    </row>
    <row r="44" spans="1:53" x14ac:dyDescent="0.25">
      <c r="A44" s="62">
        <v>99</v>
      </c>
      <c r="B44" s="11">
        <v>42</v>
      </c>
      <c r="C44" s="49">
        <f t="shared" si="12"/>
        <v>4870939.1494704019</v>
      </c>
      <c r="D44" s="3">
        <f t="shared" si="13"/>
        <v>3956803.9940218488</v>
      </c>
      <c r="E44" s="3">
        <f t="shared" si="11"/>
        <v>198445607.19961265</v>
      </c>
      <c r="F44" s="3"/>
      <c r="G44" s="11"/>
      <c r="H44" s="11"/>
      <c r="K44" s="181"/>
      <c r="L44" s="121"/>
      <c r="M44" s="181" t="s">
        <v>4229</v>
      </c>
      <c r="N44" s="117">
        <v>-3142958</v>
      </c>
      <c r="O44" s="103"/>
      <c r="P44" s="103"/>
      <c r="R44" t="s">
        <v>25</v>
      </c>
      <c r="T44" t="s">
        <v>25</v>
      </c>
      <c r="U44" s="100"/>
      <c r="Y44">
        <f>Z37*P31</f>
        <v>5903693.2999999998</v>
      </c>
      <c r="AF44" s="103">
        <v>25</v>
      </c>
      <c r="AG44" s="117" t="s">
        <v>4101</v>
      </c>
      <c r="AH44" s="117">
        <v>110000</v>
      </c>
      <c r="AI44" s="103">
        <v>1</v>
      </c>
      <c r="AJ44" s="103">
        <f t="shared" si="4"/>
        <v>80</v>
      </c>
      <c r="AK44" s="117">
        <f t="shared" si="5"/>
        <v>8800000</v>
      </c>
      <c r="AL44" s="103"/>
    </row>
    <row r="45" spans="1:53" x14ac:dyDescent="0.25">
      <c r="A45" s="62">
        <v>99</v>
      </c>
      <c r="B45" s="11">
        <v>43</v>
      </c>
      <c r="C45" s="50">
        <f t="shared" si="12"/>
        <v>4919648.5409651063</v>
      </c>
      <c r="D45" s="3">
        <f t="shared" si="13"/>
        <v>3996372.0339620672</v>
      </c>
      <c r="E45" s="3">
        <f t="shared" si="11"/>
        <v>203337795.85060793</v>
      </c>
      <c r="F45" s="3"/>
      <c r="G45" s="11"/>
      <c r="H45" s="11"/>
      <c r="K45" s="181"/>
      <c r="L45" s="121"/>
      <c r="M45" s="181" t="s">
        <v>4252</v>
      </c>
      <c r="N45" s="117">
        <f>-O45*P45</f>
        <v>-4067200</v>
      </c>
      <c r="O45" s="103">
        <v>400</v>
      </c>
      <c r="P45" s="103">
        <f>P32</f>
        <v>10168</v>
      </c>
      <c r="Q45" t="s">
        <v>25</v>
      </c>
      <c r="R45" t="s">
        <v>25</v>
      </c>
      <c r="T45" t="s">
        <v>25</v>
      </c>
      <c r="U45" s="100"/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79</v>
      </c>
      <c r="AK45" s="117">
        <f t="shared" si="5"/>
        <v>30020000</v>
      </c>
      <c r="AL45" s="103"/>
      <c r="AO45" s="103" t="s">
        <v>3674</v>
      </c>
      <c r="AP45" s="103" t="s">
        <v>180</v>
      </c>
      <c r="AQ45" s="103" t="s">
        <v>4197</v>
      </c>
      <c r="AR45" s="103" t="s">
        <v>940</v>
      </c>
      <c r="AS45" s="103" t="s">
        <v>4196</v>
      </c>
      <c r="AT45" s="103" t="s">
        <v>1137</v>
      </c>
      <c r="AU45" s="103" t="s">
        <v>1139</v>
      </c>
      <c r="AV45" s="103" t="s">
        <v>183</v>
      </c>
      <c r="AW45" s="103" t="s">
        <v>918</v>
      </c>
      <c r="AX45" s="103" t="s">
        <v>190</v>
      </c>
      <c r="AY45" s="103"/>
      <c r="AZ45" s="103"/>
      <c r="BA45" s="103"/>
    </row>
    <row r="46" spans="1:53" x14ac:dyDescent="0.25">
      <c r="A46" s="62">
        <v>99</v>
      </c>
      <c r="B46" s="11">
        <v>44</v>
      </c>
      <c r="C46" s="50">
        <f t="shared" si="12"/>
        <v>4968845.0263747573</v>
      </c>
      <c r="D46" s="3">
        <f t="shared" si="13"/>
        <v>4036335.7543016877</v>
      </c>
      <c r="E46" s="3">
        <f t="shared" si="11"/>
        <v>208337061.03969315</v>
      </c>
      <c r="F46" s="3"/>
      <c r="G46" s="11"/>
      <c r="H46" s="11"/>
      <c r="K46" s="181"/>
      <c r="L46" s="121"/>
      <c r="M46" s="181" t="s">
        <v>4253</v>
      </c>
      <c r="N46" s="117">
        <f>-O46*P46</f>
        <v>-1056364</v>
      </c>
      <c r="O46" s="69">
        <v>4</v>
      </c>
      <c r="P46" s="103">
        <f>P43</f>
        <v>264091</v>
      </c>
      <c r="Q46" t="s">
        <v>25</v>
      </c>
      <c r="S46" t="s">
        <v>25</v>
      </c>
      <c r="U46" s="100"/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72</v>
      </c>
      <c r="AK46" s="117">
        <f t="shared" si="5"/>
        <v>32400000</v>
      </c>
      <c r="AL46" s="103"/>
      <c r="AO46" s="103">
        <v>1</v>
      </c>
      <c r="AP46" s="103" t="s">
        <v>4185</v>
      </c>
      <c r="AQ46" s="103" t="s">
        <v>4198</v>
      </c>
      <c r="AR46" s="103">
        <v>1</v>
      </c>
      <c r="AS46" s="117">
        <v>944261</v>
      </c>
      <c r="AT46" s="117">
        <v>1550000</v>
      </c>
      <c r="AU46" s="117">
        <v>264091</v>
      </c>
      <c r="AV46" s="103">
        <v>127</v>
      </c>
      <c r="AW46" s="117">
        <f>(AT46-AS46)*AR46</f>
        <v>605739</v>
      </c>
      <c r="AX46" s="103">
        <f>AW46/((AS46+AU46)*AR46)</f>
        <v>0.50129349725907679</v>
      </c>
      <c r="AY46" s="103"/>
      <c r="AZ46" s="103"/>
      <c r="BA46" s="103"/>
    </row>
    <row r="47" spans="1:53" x14ac:dyDescent="0.25">
      <c r="A47" s="62">
        <v>99</v>
      </c>
      <c r="B47" s="11">
        <v>45</v>
      </c>
      <c r="C47" s="50">
        <f t="shared" si="12"/>
        <v>5018533.4766385052</v>
      </c>
      <c r="D47" s="3">
        <f t="shared" si="13"/>
        <v>4076699.1118447045</v>
      </c>
      <c r="E47" s="3">
        <f t="shared" si="11"/>
        <v>213445636.6252808</v>
      </c>
      <c r="F47" s="3"/>
      <c r="G47" s="11"/>
      <c r="H47" s="11"/>
      <c r="K47" s="181"/>
      <c r="L47" s="121"/>
      <c r="M47" s="181" t="s">
        <v>4254</v>
      </c>
      <c r="N47" s="117">
        <v>27557</v>
      </c>
      <c r="O47" s="119"/>
      <c r="P47" s="119"/>
      <c r="T47" t="s">
        <v>25</v>
      </c>
      <c r="U47" s="100"/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66</v>
      </c>
      <c r="AK47" s="117">
        <f t="shared" si="5"/>
        <v>184800000</v>
      </c>
      <c r="AL47" s="103"/>
      <c r="AO47" s="103">
        <v>2</v>
      </c>
      <c r="AP47" s="103" t="s">
        <v>4209</v>
      </c>
      <c r="AQ47" s="103" t="s">
        <v>4198</v>
      </c>
      <c r="AR47" s="103">
        <v>13</v>
      </c>
      <c r="AS47" s="117">
        <v>963887</v>
      </c>
      <c r="AT47" s="117">
        <v>1560000</v>
      </c>
      <c r="AU47" s="117">
        <f>AU46</f>
        <v>264091</v>
      </c>
      <c r="AV47" s="103">
        <v>126</v>
      </c>
      <c r="AW47" s="117">
        <f>(AT47-AS47)*AR47</f>
        <v>7749469</v>
      </c>
      <c r="AX47" s="103">
        <f>AW47/((AS47+AU47)*AR47)</f>
        <v>0.48544273594478077</v>
      </c>
      <c r="AY47" s="103"/>
      <c r="AZ47" s="103"/>
      <c r="BA47" s="103"/>
    </row>
    <row r="48" spans="1:53" x14ac:dyDescent="0.25">
      <c r="A48" s="64">
        <v>99</v>
      </c>
      <c r="B48" s="64">
        <v>46</v>
      </c>
      <c r="C48" s="65">
        <f t="shared" si="12"/>
        <v>5068718.8114048904</v>
      </c>
      <c r="D48" s="65">
        <f t="shared" si="13"/>
        <v>4117466.1029631514</v>
      </c>
      <c r="E48" s="65">
        <f t="shared" si="11"/>
        <v>218665802.06622815</v>
      </c>
      <c r="F48" s="3"/>
      <c r="G48" s="11"/>
      <c r="H48" s="11" t="s">
        <v>611</v>
      </c>
      <c r="K48" s="181"/>
      <c r="L48" s="121"/>
      <c r="M48" s="181"/>
      <c r="N48" s="117"/>
      <c r="O48" s="100"/>
      <c r="P48" s="100"/>
      <c r="U48" s="100"/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65</v>
      </c>
      <c r="AK48" s="117">
        <f t="shared" si="5"/>
        <v>-97500000</v>
      </c>
      <c r="AL48" s="103"/>
      <c r="AO48" s="103">
        <v>3</v>
      </c>
      <c r="AP48" s="103" t="s">
        <v>4249</v>
      </c>
      <c r="AQ48" s="103" t="s">
        <v>4198</v>
      </c>
      <c r="AR48" s="103">
        <v>74</v>
      </c>
      <c r="AS48" s="117">
        <v>992797</v>
      </c>
      <c r="AT48" s="117">
        <v>1602000</v>
      </c>
      <c r="AU48" s="117">
        <f>AU47</f>
        <v>264091</v>
      </c>
      <c r="AV48" s="103">
        <v>125</v>
      </c>
      <c r="AW48" s="117">
        <f>(AT48-AS48)*AR48</f>
        <v>45081022</v>
      </c>
      <c r="AX48" s="103">
        <f>AW48/((AS48+AU48)*AR48)</f>
        <v>0.48469155565173666</v>
      </c>
      <c r="AY48" s="103"/>
      <c r="AZ48" s="103"/>
      <c r="BA48" s="103"/>
    </row>
    <row r="49" spans="1:53" x14ac:dyDescent="0.25">
      <c r="A49" s="62">
        <v>99</v>
      </c>
      <c r="B49" s="11">
        <v>47</v>
      </c>
      <c r="C49" s="3">
        <f t="shared" si="12"/>
        <v>5119405.9995189393</v>
      </c>
      <c r="D49" s="3">
        <f t="shared" si="13"/>
        <v>4158640.7639927831</v>
      </c>
      <c r="E49" s="3">
        <f t="shared" si="11"/>
        <v>223999883.34307885</v>
      </c>
      <c r="F49" s="3"/>
      <c r="G49" s="11"/>
      <c r="H49" s="11"/>
      <c r="K49" s="181" t="s">
        <v>598</v>
      </c>
      <c r="L49" s="117">
        <f>SUM(L16:L38)</f>
        <v>97910547</v>
      </c>
      <c r="M49" s="181"/>
      <c r="N49" s="117">
        <f>SUM(N16:N48)</f>
        <v>187688437.19999999</v>
      </c>
      <c r="O49" t="s">
        <v>25</v>
      </c>
      <c r="Q49" s="116" t="s">
        <v>1139</v>
      </c>
      <c r="R49" s="116"/>
      <c r="U49" s="100"/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65</v>
      </c>
      <c r="AK49" s="117">
        <f t="shared" si="5"/>
        <v>198250000</v>
      </c>
      <c r="AL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</row>
    <row r="50" spans="1:53" x14ac:dyDescent="0.25">
      <c r="A50" s="62">
        <v>99</v>
      </c>
      <c r="B50" s="11">
        <v>48</v>
      </c>
      <c r="C50" s="51">
        <f t="shared" si="12"/>
        <v>5170600.0595141286</v>
      </c>
      <c r="D50" s="51">
        <f t="shared" si="13"/>
        <v>4200227.1716327108</v>
      </c>
      <c r="E50" s="52">
        <f t="shared" si="11"/>
        <v>229450253.89782187</v>
      </c>
      <c r="F50" s="51"/>
      <c r="G50" s="11"/>
      <c r="H50" s="11"/>
      <c r="K50" s="181" t="s">
        <v>599</v>
      </c>
      <c r="L50" s="117">
        <f>L16+L17+L21+N41+N40</f>
        <v>19619738</v>
      </c>
      <c r="M50" s="181"/>
      <c r="N50" s="117">
        <f>N16+N17+N23</f>
        <v>-5476401</v>
      </c>
      <c r="Q50" s="116" t="s">
        <v>267</v>
      </c>
      <c r="R50" s="116" t="s">
        <v>1154</v>
      </c>
      <c r="U50" s="100"/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62</v>
      </c>
      <c r="AK50" s="117">
        <f t="shared" si="5"/>
        <v>-514575944</v>
      </c>
      <c r="AL50" s="103"/>
      <c r="AO50" s="103"/>
      <c r="AP50" s="103"/>
      <c r="AQ50" s="103"/>
      <c r="AR50" s="103"/>
      <c r="AS50" s="103" t="s">
        <v>25</v>
      </c>
      <c r="AT50" s="103"/>
      <c r="AU50" s="103"/>
      <c r="AV50" s="103"/>
      <c r="AW50" s="103"/>
      <c r="AX50" s="103"/>
      <c r="AY50" s="103"/>
      <c r="AZ50" s="103"/>
      <c r="BA50" s="103"/>
    </row>
    <row r="51" spans="1:53" x14ac:dyDescent="0.25">
      <c r="A51" s="63">
        <v>1400</v>
      </c>
      <c r="B51" s="11">
        <v>49</v>
      </c>
      <c r="C51" s="44">
        <f t="shared" si="12"/>
        <v>5222306.0601092698</v>
      </c>
      <c r="D51" s="3">
        <f t="shared" si="13"/>
        <v>4242229.4433490383</v>
      </c>
      <c r="E51" s="3">
        <f t="shared" si="11"/>
        <v>235019335.59253854</v>
      </c>
      <c r="F51" s="3"/>
      <c r="G51" s="11"/>
      <c r="H51" s="11"/>
      <c r="K51" s="56" t="s">
        <v>716</v>
      </c>
      <c r="L51" s="1">
        <f>L49+N7</f>
        <v>167910547</v>
      </c>
      <c r="M51" s="117"/>
      <c r="N51" s="181"/>
      <c r="O51" s="22"/>
      <c r="P51" t="s">
        <v>25</v>
      </c>
      <c r="Q51" s="14">
        <v>250000</v>
      </c>
      <c r="R51" s="116" t="s">
        <v>1155</v>
      </c>
      <c r="U51" s="100"/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60</v>
      </c>
      <c r="AK51" s="117">
        <f t="shared" si="5"/>
        <v>300000000</v>
      </c>
      <c r="AL51" s="103"/>
      <c r="AO51" s="103"/>
      <c r="AP51" s="103"/>
      <c r="AQ51" s="103"/>
      <c r="AR51" s="103"/>
      <c r="AS51" s="103"/>
      <c r="AT51" s="103"/>
      <c r="AU51" s="103" t="s">
        <v>25</v>
      </c>
      <c r="AV51" s="103"/>
      <c r="AW51" s="103"/>
      <c r="AX51" s="103"/>
      <c r="AY51" s="103"/>
      <c r="AZ51" s="103"/>
      <c r="BA51" s="103"/>
    </row>
    <row r="52" spans="1:53" x14ac:dyDescent="0.25">
      <c r="A52" s="63">
        <v>1400</v>
      </c>
      <c r="B52" s="11">
        <v>50</v>
      </c>
      <c r="C52" s="44">
        <f t="shared" si="12"/>
        <v>5274529.1207103627</v>
      </c>
      <c r="D52" s="3">
        <f t="shared" si="13"/>
        <v>4284651.7377825286</v>
      </c>
      <c r="E52" s="3">
        <f t="shared" si="11"/>
        <v>240709599.68731713</v>
      </c>
      <c r="F52" s="3"/>
      <c r="G52" s="11"/>
      <c r="H52" s="11"/>
      <c r="M52" t="s">
        <v>4117</v>
      </c>
      <c r="Q52" s="14">
        <v>-5800000</v>
      </c>
      <c r="R52" s="116" t="s">
        <v>1156</v>
      </c>
      <c r="U52" s="100"/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46</v>
      </c>
      <c r="AK52" s="117">
        <f t="shared" si="5"/>
        <v>-4140000</v>
      </c>
      <c r="AL52" s="103"/>
      <c r="AO52" s="103"/>
      <c r="AP52" s="103"/>
      <c r="AQ52" s="103"/>
      <c r="AR52" s="103"/>
      <c r="AS52" s="103"/>
      <c r="AT52" s="103"/>
      <c r="AU52" s="103"/>
      <c r="AV52" s="103" t="s">
        <v>25</v>
      </c>
      <c r="AW52" s="103"/>
      <c r="AX52" s="103"/>
      <c r="AY52" s="103"/>
      <c r="AZ52" s="103"/>
      <c r="BA52" s="103"/>
    </row>
    <row r="53" spans="1:53" x14ac:dyDescent="0.25">
      <c r="A53" s="63">
        <v>1400</v>
      </c>
      <c r="B53" s="11">
        <v>51</v>
      </c>
      <c r="C53" s="44">
        <f t="shared" si="12"/>
        <v>5327274.4119174667</v>
      </c>
      <c r="D53" s="3">
        <f t="shared" si="13"/>
        <v>4327498.2551603541</v>
      </c>
      <c r="E53" s="3">
        <f t="shared" si="11"/>
        <v>246523567.83782059</v>
      </c>
      <c r="F53" s="3"/>
      <c r="G53" s="11"/>
      <c r="H53" s="11"/>
      <c r="M53" s="25" t="s">
        <v>4178</v>
      </c>
      <c r="O53" t="s">
        <v>25</v>
      </c>
      <c r="Q53" s="14">
        <f>سارا!C207</f>
        <v>7835443</v>
      </c>
      <c r="R53" s="116" t="s">
        <v>1157</v>
      </c>
      <c r="AB53" t="s">
        <v>25</v>
      </c>
      <c r="AF53" s="103">
        <v>34</v>
      </c>
      <c r="AG53" s="117" t="s">
        <v>4102</v>
      </c>
      <c r="AH53" s="117">
        <v>5600000</v>
      </c>
      <c r="AI53" s="103">
        <v>4</v>
      </c>
      <c r="AJ53" s="103">
        <f t="shared" si="4"/>
        <v>45</v>
      </c>
      <c r="AK53" s="117">
        <f t="shared" si="5"/>
        <v>252000000</v>
      </c>
      <c r="AL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</row>
    <row r="54" spans="1:53" x14ac:dyDescent="0.25">
      <c r="A54" s="63">
        <v>1400</v>
      </c>
      <c r="B54" s="11">
        <v>52</v>
      </c>
      <c r="C54" s="49">
        <f t="shared" si="12"/>
        <v>5380547.1560366414</v>
      </c>
      <c r="D54" s="3">
        <f t="shared" si="13"/>
        <v>4370773.2377119577</v>
      </c>
      <c r="E54" s="3">
        <f t="shared" si="11"/>
        <v>252463813.11290169</v>
      </c>
      <c r="F54" s="3"/>
      <c r="G54" s="11"/>
      <c r="H54" s="11"/>
      <c r="M54" s="25" t="s">
        <v>4142</v>
      </c>
      <c r="P54" t="s">
        <v>25</v>
      </c>
      <c r="Q54" s="14">
        <f>N19</f>
        <v>5832216</v>
      </c>
      <c r="R54" s="56" t="s">
        <v>3750</v>
      </c>
      <c r="AF54" s="103">
        <v>35</v>
      </c>
      <c r="AG54" s="117" t="s">
        <v>4024</v>
      </c>
      <c r="AH54" s="117">
        <v>750000</v>
      </c>
      <c r="AI54" s="103">
        <v>2</v>
      </c>
      <c r="AJ54" s="103">
        <f t="shared" si="4"/>
        <v>41</v>
      </c>
      <c r="AK54" s="117">
        <f t="shared" si="5"/>
        <v>30750000</v>
      </c>
      <c r="AL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</row>
    <row r="55" spans="1:53" ht="30" x14ac:dyDescent="0.25">
      <c r="A55" s="63">
        <v>1400</v>
      </c>
      <c r="B55" s="11">
        <v>53</v>
      </c>
      <c r="C55" s="49">
        <f t="shared" si="12"/>
        <v>5434352.6275970079</v>
      </c>
      <c r="D55" s="3">
        <f t="shared" si="13"/>
        <v>4414480.970089077</v>
      </c>
      <c r="E55" s="3">
        <f t="shared" si="11"/>
        <v>258532961.03266767</v>
      </c>
      <c r="F55" s="3"/>
      <c r="G55" s="11"/>
      <c r="H55" s="11"/>
      <c r="M55" s="193" t="s">
        <v>4182</v>
      </c>
      <c r="Q55" s="14">
        <v>1200000</v>
      </c>
      <c r="R55" s="56" t="s">
        <v>1158</v>
      </c>
      <c r="AF55" s="184">
        <v>36</v>
      </c>
      <c r="AG55" s="183" t="s">
        <v>4035</v>
      </c>
      <c r="AH55" s="183">
        <v>-4242000</v>
      </c>
      <c r="AI55" s="184">
        <v>2</v>
      </c>
      <c r="AJ55" s="184">
        <f t="shared" si="4"/>
        <v>39</v>
      </c>
      <c r="AK55" s="183">
        <f t="shared" si="5"/>
        <v>-165438000</v>
      </c>
      <c r="AL55" s="184" t="s">
        <v>4111</v>
      </c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</row>
    <row r="56" spans="1:53" x14ac:dyDescent="0.25">
      <c r="A56" s="63">
        <v>1400</v>
      </c>
      <c r="B56" s="11">
        <v>54</v>
      </c>
      <c r="C56" s="49">
        <f t="shared" si="12"/>
        <v>5488696.1538729779</v>
      </c>
      <c r="D56" s="3">
        <f t="shared" si="13"/>
        <v>4458625.7797899675</v>
      </c>
      <c r="E56" s="3">
        <f t="shared" si="11"/>
        <v>264733690.62740406</v>
      </c>
      <c r="F56" s="3"/>
      <c r="G56" s="11"/>
      <c r="H56" s="11"/>
      <c r="K56" s="3"/>
      <c r="L56" s="11" t="s">
        <v>304</v>
      </c>
      <c r="M56" s="126" t="s">
        <v>4183</v>
      </c>
      <c r="N56" s="100"/>
      <c r="Q56" s="121">
        <v>97000000</v>
      </c>
      <c r="R56" s="56" t="s">
        <v>4118</v>
      </c>
      <c r="AF56" s="103">
        <v>37</v>
      </c>
      <c r="AG56" s="117" t="s">
        <v>4035</v>
      </c>
      <c r="AH56" s="117">
        <v>4100000</v>
      </c>
      <c r="AI56" s="103">
        <v>0</v>
      </c>
      <c r="AJ56" s="103">
        <f t="shared" si="4"/>
        <v>37</v>
      </c>
      <c r="AK56" s="117">
        <f t="shared" si="5"/>
        <v>151700000</v>
      </c>
      <c r="AL56" s="103"/>
      <c r="AO56" s="103"/>
      <c r="AP56" s="103"/>
      <c r="AQ56" s="103"/>
      <c r="AR56" s="103">
        <f>SUM(AR46:AR53)</f>
        <v>88</v>
      </c>
      <c r="AS56" s="103"/>
      <c r="AT56" s="103"/>
      <c r="AU56" s="103"/>
      <c r="AV56" s="103"/>
      <c r="AW56" s="103"/>
      <c r="AX56" s="103"/>
      <c r="AY56" s="103"/>
      <c r="AZ56" s="103"/>
      <c r="BA56" s="103"/>
    </row>
    <row r="57" spans="1:53" x14ac:dyDescent="0.25">
      <c r="A57" s="63">
        <v>1400</v>
      </c>
      <c r="B57" s="11">
        <v>55</v>
      </c>
      <c r="C57" s="50">
        <f t="shared" si="12"/>
        <v>5543583.1154117081</v>
      </c>
      <c r="D57" s="3">
        <f t="shared" si="13"/>
        <v>4503212.0375878671</v>
      </c>
      <c r="E57" s="3">
        <f t="shared" si="11"/>
        <v>271068735.51777595</v>
      </c>
      <c r="F57" s="3"/>
      <c r="G57" s="11"/>
      <c r="H57" s="11"/>
      <c r="K57" s="1" t="s">
        <v>305</v>
      </c>
      <c r="L57" s="1">
        <v>70000</v>
      </c>
      <c r="M57" s="126" t="s">
        <v>4187</v>
      </c>
      <c r="N57" s="100" t="s">
        <v>25</v>
      </c>
      <c r="Q57" s="121">
        <f>N25</f>
        <v>4000000</v>
      </c>
      <c r="R57" s="56" t="s">
        <v>4119</v>
      </c>
      <c r="AF57" s="103">
        <v>38</v>
      </c>
      <c r="AG57" s="117" t="s">
        <v>4041</v>
      </c>
      <c r="AH57" s="117">
        <v>4100000</v>
      </c>
      <c r="AI57" s="103">
        <v>1</v>
      </c>
      <c r="AJ57" s="103">
        <f t="shared" si="4"/>
        <v>37</v>
      </c>
      <c r="AK57" s="117">
        <f t="shared" si="5"/>
        <v>151700000</v>
      </c>
      <c r="AL57" s="103"/>
      <c r="AR57" s="100" t="s">
        <v>4226</v>
      </c>
    </row>
    <row r="58" spans="1:53" x14ac:dyDescent="0.25">
      <c r="A58" s="63">
        <v>1400</v>
      </c>
      <c r="B58" s="11">
        <v>56</v>
      </c>
      <c r="C58" s="50">
        <f t="shared" si="12"/>
        <v>5599018.9465658255</v>
      </c>
      <c r="D58" s="3">
        <f t="shared" si="13"/>
        <v>4548244.1579637462</v>
      </c>
      <c r="E58" s="3">
        <f t="shared" si="11"/>
        <v>277540885.01673353</v>
      </c>
      <c r="F58" s="3"/>
      <c r="G58" s="11"/>
      <c r="H58" s="11"/>
      <c r="K58" s="1" t="s">
        <v>321</v>
      </c>
      <c r="L58" s="1">
        <v>100000</v>
      </c>
      <c r="M58" s="126" t="s">
        <v>4261</v>
      </c>
      <c r="Q58" s="121"/>
      <c r="R58" s="56"/>
      <c r="AF58" s="103">
        <v>39</v>
      </c>
      <c r="AG58" s="117" t="s">
        <v>4051</v>
      </c>
      <c r="AH58" s="117">
        <v>790000</v>
      </c>
      <c r="AI58" s="103">
        <v>15</v>
      </c>
      <c r="AJ58" s="103">
        <f t="shared" si="4"/>
        <v>36</v>
      </c>
      <c r="AK58" s="117">
        <f t="shared" si="5"/>
        <v>28440000</v>
      </c>
      <c r="AL58" s="103"/>
      <c r="AV58" t="s">
        <v>25</v>
      </c>
    </row>
    <row r="59" spans="1:53" x14ac:dyDescent="0.25">
      <c r="A59" s="63">
        <v>1400</v>
      </c>
      <c r="B59" s="11">
        <v>57</v>
      </c>
      <c r="C59" s="50">
        <f t="shared" si="12"/>
        <v>5655009.1360314842</v>
      </c>
      <c r="D59" s="3">
        <f t="shared" si="13"/>
        <v>4593726.5995433833</v>
      </c>
      <c r="E59" s="3">
        <f t="shared" si="11"/>
        <v>284152985.25355631</v>
      </c>
      <c r="F59" s="3"/>
      <c r="G59" s="11"/>
      <c r="H59" s="11"/>
      <c r="K59" s="1" t="s">
        <v>306</v>
      </c>
      <c r="L59" s="1">
        <v>80000</v>
      </c>
      <c r="M59" s="100"/>
      <c r="Q59" s="14">
        <v>2500000</v>
      </c>
      <c r="R59" s="56" t="s">
        <v>1150</v>
      </c>
      <c r="AF59" s="184">
        <v>40</v>
      </c>
      <c r="AG59" s="183" t="s">
        <v>4082</v>
      </c>
      <c r="AH59" s="183">
        <v>-3865000</v>
      </c>
      <c r="AI59" s="184">
        <v>6</v>
      </c>
      <c r="AJ59" s="184">
        <f t="shared" si="4"/>
        <v>21</v>
      </c>
      <c r="AK59" s="186">
        <f t="shared" si="5"/>
        <v>-81165000</v>
      </c>
      <c r="AL59" s="184" t="s">
        <v>4112</v>
      </c>
    </row>
    <row r="60" spans="1:53" x14ac:dyDescent="0.25">
      <c r="A60" s="63">
        <v>1400</v>
      </c>
      <c r="B60" s="11">
        <v>58</v>
      </c>
      <c r="C60" s="3">
        <f t="shared" si="12"/>
        <v>5711559.227391799</v>
      </c>
      <c r="D60" s="3">
        <f t="shared" si="13"/>
        <v>4639663.8655388169</v>
      </c>
      <c r="E60" s="3">
        <f t="shared" si="11"/>
        <v>290907940.32048041</v>
      </c>
      <c r="F60" s="3"/>
      <c r="G60" s="11"/>
      <c r="H60" s="11"/>
      <c r="K60" s="31" t="s">
        <v>307</v>
      </c>
      <c r="L60" s="1">
        <v>150000</v>
      </c>
      <c r="M60" s="100"/>
      <c r="Q60" s="121">
        <v>1200000</v>
      </c>
      <c r="R60" s="56" t="s">
        <v>3940</v>
      </c>
      <c r="AF60" s="20">
        <v>41</v>
      </c>
      <c r="AG60" s="121" t="s">
        <v>4127</v>
      </c>
      <c r="AH60" s="121">
        <v>18800000</v>
      </c>
      <c r="AI60" s="20">
        <v>3</v>
      </c>
      <c r="AJ60" s="103">
        <f t="shared" si="4"/>
        <v>15</v>
      </c>
      <c r="AK60" s="117">
        <f t="shared" si="5"/>
        <v>282000000</v>
      </c>
      <c r="AL60" s="20"/>
      <c r="AP60" t="s">
        <v>4199</v>
      </c>
      <c r="AQ60" t="s">
        <v>4200</v>
      </c>
      <c r="AS60" s="100" t="s">
        <v>25</v>
      </c>
    </row>
    <row r="61" spans="1:53" x14ac:dyDescent="0.25">
      <c r="A61" s="63">
        <v>1400</v>
      </c>
      <c r="B61" s="11">
        <v>59</v>
      </c>
      <c r="C61" s="3">
        <f t="shared" si="12"/>
        <v>5768674.819665717</v>
      </c>
      <c r="D61" s="3">
        <f t="shared" si="13"/>
        <v>4686060.5041942047</v>
      </c>
      <c r="E61" s="3">
        <f t="shared" si="11"/>
        <v>297808713.44236153</v>
      </c>
      <c r="F61" s="3"/>
      <c r="G61" s="11"/>
      <c r="H61" s="11"/>
      <c r="K61" s="31" t="s">
        <v>308</v>
      </c>
      <c r="L61" s="1">
        <v>300000</v>
      </c>
      <c r="M61" s="100"/>
      <c r="Q61" s="14"/>
      <c r="R61" s="56"/>
      <c r="AF61" s="20">
        <v>42</v>
      </c>
      <c r="AG61" s="121" t="s">
        <v>4146</v>
      </c>
      <c r="AH61" s="121">
        <v>500000</v>
      </c>
      <c r="AI61" s="20">
        <v>1</v>
      </c>
      <c r="AJ61" s="103">
        <f t="shared" si="4"/>
        <v>12</v>
      </c>
      <c r="AK61" s="117">
        <f t="shared" si="5"/>
        <v>6000000</v>
      </c>
      <c r="AL61" s="20"/>
      <c r="AP61" t="s">
        <v>4201</v>
      </c>
      <c r="AQ61" t="s">
        <v>4202</v>
      </c>
    </row>
    <row r="62" spans="1:53" x14ac:dyDescent="0.25">
      <c r="A62" s="63">
        <v>1400</v>
      </c>
      <c r="B62" s="11">
        <v>60</v>
      </c>
      <c r="C62" s="3">
        <f t="shared" si="12"/>
        <v>5826361.5678623738</v>
      </c>
      <c r="D62" s="3">
        <f t="shared" si="13"/>
        <v>4732921.1092361463</v>
      </c>
      <c r="E62" s="46">
        <f t="shared" si="11"/>
        <v>304858328.16983503</v>
      </c>
      <c r="F62" s="3"/>
      <c r="G62" s="11"/>
      <c r="H62" s="11"/>
      <c r="K62" s="31" t="s">
        <v>309</v>
      </c>
      <c r="L62" s="1">
        <v>100000</v>
      </c>
      <c r="M62" s="100"/>
      <c r="Q62" s="121"/>
      <c r="R62" s="56"/>
      <c r="AF62" s="20">
        <v>43</v>
      </c>
      <c r="AG62" s="121" t="s">
        <v>4150</v>
      </c>
      <c r="AH62" s="121">
        <v>200000</v>
      </c>
      <c r="AI62" s="20">
        <v>3</v>
      </c>
      <c r="AJ62" s="103">
        <f>AJ63+AI62</f>
        <v>11</v>
      </c>
      <c r="AK62" s="117">
        <f t="shared" si="5"/>
        <v>2200000</v>
      </c>
      <c r="AL62" s="20"/>
    </row>
    <row r="63" spans="1:53" x14ac:dyDescent="0.25">
      <c r="E63" s="26"/>
      <c r="K63" s="31" t="s">
        <v>310</v>
      </c>
      <c r="L63" s="1">
        <v>200000</v>
      </c>
      <c r="M63" s="100"/>
      <c r="Q63" s="121"/>
      <c r="R63" s="56"/>
      <c r="AF63" s="20">
        <v>44</v>
      </c>
      <c r="AG63" s="121" t="s">
        <v>4157</v>
      </c>
      <c r="AH63" s="121">
        <v>1000000</v>
      </c>
      <c r="AI63" s="20">
        <v>3</v>
      </c>
      <c r="AJ63" s="103">
        <f t="shared" si="4"/>
        <v>8</v>
      </c>
      <c r="AK63" s="117">
        <f t="shared" si="5"/>
        <v>8000000</v>
      </c>
      <c r="AL63" s="20"/>
      <c r="AO63" s="103" t="s">
        <v>3674</v>
      </c>
      <c r="AP63" s="103" t="s">
        <v>180</v>
      </c>
      <c r="AQ63" s="103" t="s">
        <v>4230</v>
      </c>
      <c r="AR63" s="103" t="s">
        <v>5</v>
      </c>
      <c r="AS63" s="103" t="s">
        <v>4231</v>
      </c>
      <c r="AT63" s="103" t="s">
        <v>4257</v>
      </c>
      <c r="AU63" s="103" t="s">
        <v>4107</v>
      </c>
      <c r="AV63" s="103" t="s">
        <v>4099</v>
      </c>
      <c r="AW63" s="103" t="s">
        <v>37</v>
      </c>
      <c r="AX63" s="103" t="s">
        <v>4234</v>
      </c>
      <c r="AY63" s="103" t="s">
        <v>4258</v>
      </c>
      <c r="AZ63" s="103" t="s">
        <v>8</v>
      </c>
      <c r="BA63" s="103"/>
    </row>
    <row r="64" spans="1:53" x14ac:dyDescent="0.25">
      <c r="E64" s="26"/>
      <c r="K64" s="18" t="s">
        <v>311</v>
      </c>
      <c r="L64" s="18">
        <v>300000</v>
      </c>
      <c r="M64" s="100"/>
      <c r="Q64" s="121"/>
      <c r="R64" s="56"/>
      <c r="AF64" s="20">
        <v>45</v>
      </c>
      <c r="AG64" s="121" t="s">
        <v>4173</v>
      </c>
      <c r="AH64" s="121">
        <v>1300000</v>
      </c>
      <c r="AI64" s="20">
        <v>0</v>
      </c>
      <c r="AJ64" s="103">
        <f>AJ65+AI64</f>
        <v>5</v>
      </c>
      <c r="AK64" s="117">
        <f t="shared" si="5"/>
        <v>6500000</v>
      </c>
      <c r="AL64" s="20"/>
      <c r="AO64" s="103">
        <v>1</v>
      </c>
      <c r="AP64" s="126" t="s">
        <v>4185</v>
      </c>
      <c r="AQ64" s="117">
        <v>1174261</v>
      </c>
      <c r="AR64" s="117">
        <v>1174261</v>
      </c>
      <c r="AS64" s="117">
        <v>0</v>
      </c>
      <c r="AT64" s="117">
        <f>AQ64-AR64-AS64</f>
        <v>0</v>
      </c>
      <c r="AU64" s="103">
        <v>1</v>
      </c>
      <c r="AV64" s="103">
        <f>AV65+AU64</f>
        <v>4</v>
      </c>
      <c r="AW64" s="117">
        <f t="shared" ref="AW64:AW79" si="15">AR64*AV64</f>
        <v>4697044</v>
      </c>
      <c r="AX64" s="117">
        <f t="shared" ref="AX64:AX80" si="16">AS64*AV64</f>
        <v>0</v>
      </c>
      <c r="AY64" s="103">
        <f>AT64*AV64</f>
        <v>0</v>
      </c>
      <c r="AZ64" s="103" t="s">
        <v>4265</v>
      </c>
      <c r="BA64" s="103"/>
    </row>
    <row r="65" spans="1:53" x14ac:dyDescent="0.25">
      <c r="K65" s="32" t="s">
        <v>312</v>
      </c>
      <c r="L65" s="1">
        <v>200000</v>
      </c>
      <c r="M65" s="100"/>
      <c r="N65" s="100"/>
      <c r="O65" t="s">
        <v>4240</v>
      </c>
      <c r="Q65" s="121"/>
      <c r="R65" s="56"/>
      <c r="AF65" s="20">
        <v>45</v>
      </c>
      <c r="AG65" s="121" t="s">
        <v>4173</v>
      </c>
      <c r="AH65" s="121">
        <v>995000</v>
      </c>
      <c r="AI65" s="20">
        <v>2</v>
      </c>
      <c r="AJ65" s="103">
        <f t="shared" ref="AJ65:AJ73" si="17">AJ66+AI65</f>
        <v>5</v>
      </c>
      <c r="AK65" s="117">
        <f t="shared" si="5"/>
        <v>4975000</v>
      </c>
      <c r="AL65" s="20"/>
      <c r="AO65" s="103">
        <v>2</v>
      </c>
      <c r="AP65" s="103" t="s">
        <v>4209</v>
      </c>
      <c r="AQ65" s="117">
        <v>15520539</v>
      </c>
      <c r="AR65" s="117">
        <v>0</v>
      </c>
      <c r="AS65" s="117">
        <f>15520539</f>
        <v>15520539</v>
      </c>
      <c r="AT65" s="117">
        <f t="shared" ref="AT65:AT80" si="18">AQ65-AR65-AS65</f>
        <v>0</v>
      </c>
      <c r="AU65" s="103">
        <v>1</v>
      </c>
      <c r="AV65" s="103">
        <f t="shared" ref="AV65:AV79" si="19">AV66+AU65</f>
        <v>3</v>
      </c>
      <c r="AW65" s="117">
        <f t="shared" si="15"/>
        <v>0</v>
      </c>
      <c r="AX65" s="117">
        <f t="shared" si="16"/>
        <v>46561617</v>
      </c>
      <c r="AY65" s="103">
        <f t="shared" ref="AY65:AY79" si="20">AT65*AV65</f>
        <v>0</v>
      </c>
      <c r="AZ65" s="103" t="s">
        <v>4266</v>
      </c>
      <c r="BA65" s="103"/>
    </row>
    <row r="66" spans="1:53" x14ac:dyDescent="0.25">
      <c r="K66" s="32" t="s">
        <v>313</v>
      </c>
      <c r="L66" s="1">
        <v>20000</v>
      </c>
      <c r="M66" s="100"/>
      <c r="N66" s="121">
        <v>3000000</v>
      </c>
      <c r="O66" t="s">
        <v>4216</v>
      </c>
      <c r="Q66" s="121"/>
      <c r="R66" s="56"/>
      <c r="AF66" s="20">
        <v>46</v>
      </c>
      <c r="AG66" s="121" t="s">
        <v>4209</v>
      </c>
      <c r="AH66" s="121">
        <v>13000000</v>
      </c>
      <c r="AI66" s="20">
        <v>2</v>
      </c>
      <c r="AJ66" s="103">
        <f t="shared" si="17"/>
        <v>3</v>
      </c>
      <c r="AK66" s="117">
        <f t="shared" si="5"/>
        <v>39000000</v>
      </c>
      <c r="AL66" s="20"/>
      <c r="AO66" s="103">
        <v>3</v>
      </c>
      <c r="AP66" s="103" t="s">
        <v>4249</v>
      </c>
      <c r="AQ66" s="117">
        <v>4891188</v>
      </c>
      <c r="AR66" s="117">
        <v>0</v>
      </c>
      <c r="AS66" s="117">
        <v>0</v>
      </c>
      <c r="AT66" s="117">
        <f t="shared" si="18"/>
        <v>4891188</v>
      </c>
      <c r="AU66" s="103">
        <v>0</v>
      </c>
      <c r="AV66" s="103">
        <f t="shared" si="19"/>
        <v>2</v>
      </c>
      <c r="AW66" s="117">
        <f t="shared" si="15"/>
        <v>0</v>
      </c>
      <c r="AX66" s="117">
        <f t="shared" si="16"/>
        <v>0</v>
      </c>
      <c r="AY66" s="103">
        <f t="shared" si="20"/>
        <v>9782376</v>
      </c>
      <c r="AZ66" s="103" t="s">
        <v>4267</v>
      </c>
      <c r="BA66" s="103"/>
    </row>
    <row r="67" spans="1:53" x14ac:dyDescent="0.25">
      <c r="A67" t="s">
        <v>25</v>
      </c>
      <c r="F67" t="s">
        <v>310</v>
      </c>
      <c r="G67" t="s">
        <v>4165</v>
      </c>
      <c r="K67" s="32" t="s">
        <v>315</v>
      </c>
      <c r="L67" s="1">
        <v>50000</v>
      </c>
      <c r="M67" s="100"/>
      <c r="N67" s="121">
        <v>1660000</v>
      </c>
      <c r="O67" t="s">
        <v>4217</v>
      </c>
      <c r="Q67" s="117">
        <f>SUM(Q51:Q65)</f>
        <v>114017659</v>
      </c>
      <c r="R67" s="56" t="s">
        <v>1160</v>
      </c>
      <c r="AF67" s="20">
        <v>47</v>
      </c>
      <c r="AG67" s="121" t="s">
        <v>4246</v>
      </c>
      <c r="AH67" s="121">
        <v>-3100000</v>
      </c>
      <c r="AI67" s="20">
        <v>1</v>
      </c>
      <c r="AJ67" s="103">
        <f t="shared" si="17"/>
        <v>1</v>
      </c>
      <c r="AK67" s="117">
        <f t="shared" si="5"/>
        <v>-3100000</v>
      </c>
      <c r="AL67" s="20"/>
      <c r="AO67" s="103">
        <v>4</v>
      </c>
      <c r="AP67" s="103" t="s">
        <v>4249</v>
      </c>
      <c r="AQ67" s="117">
        <v>18341955</v>
      </c>
      <c r="AR67" s="117">
        <v>0</v>
      </c>
      <c r="AS67" s="117">
        <v>18341955</v>
      </c>
      <c r="AT67" s="117">
        <f t="shared" si="18"/>
        <v>0</v>
      </c>
      <c r="AU67" s="103">
        <v>0</v>
      </c>
      <c r="AV67" s="103">
        <f t="shared" si="19"/>
        <v>2</v>
      </c>
      <c r="AW67" s="117">
        <f t="shared" si="15"/>
        <v>0</v>
      </c>
      <c r="AX67" s="117">
        <f t="shared" si="16"/>
        <v>36683910</v>
      </c>
      <c r="AY67" s="103">
        <f t="shared" si="20"/>
        <v>0</v>
      </c>
      <c r="AZ67" s="103" t="s">
        <v>4268</v>
      </c>
      <c r="BA67" s="103"/>
    </row>
    <row r="68" spans="1:53" x14ac:dyDescent="0.25">
      <c r="F68" t="s">
        <v>4169</v>
      </c>
      <c r="G68" t="s">
        <v>4164</v>
      </c>
      <c r="K68" s="32" t="s">
        <v>316</v>
      </c>
      <c r="L68" s="1">
        <v>90000</v>
      </c>
      <c r="M68" s="100"/>
      <c r="N68" s="121">
        <v>300000</v>
      </c>
      <c r="O68" t="s">
        <v>4218</v>
      </c>
      <c r="Q68" s="121"/>
      <c r="R68" s="56"/>
      <c r="AF68" s="20"/>
      <c r="AG68" s="121"/>
      <c r="AH68" s="121"/>
      <c r="AI68" s="20">
        <v>0</v>
      </c>
      <c r="AJ68" s="103">
        <f t="shared" si="17"/>
        <v>0</v>
      </c>
      <c r="AK68" s="117">
        <f t="shared" si="5"/>
        <v>0</v>
      </c>
      <c r="AL68" s="20"/>
      <c r="AO68" s="103">
        <v>5</v>
      </c>
      <c r="AP68" s="103" t="s">
        <v>4249</v>
      </c>
      <c r="AQ68" s="117">
        <v>67253835</v>
      </c>
      <c r="AR68" s="117">
        <v>67253835</v>
      </c>
      <c r="AS68" s="117">
        <v>0</v>
      </c>
      <c r="AT68" s="117">
        <f t="shared" si="18"/>
        <v>0</v>
      </c>
      <c r="AU68" s="103">
        <v>2</v>
      </c>
      <c r="AV68" s="103">
        <f>AV78+AU68</f>
        <v>2</v>
      </c>
      <c r="AW68" s="117">
        <f t="shared" si="15"/>
        <v>134507670</v>
      </c>
      <c r="AX68" s="117">
        <f t="shared" si="16"/>
        <v>0</v>
      </c>
      <c r="AY68" s="103">
        <f t="shared" si="20"/>
        <v>0</v>
      </c>
      <c r="AZ68" s="103" t="s">
        <v>4269</v>
      </c>
      <c r="BA68" s="103"/>
    </row>
    <row r="69" spans="1:53" x14ac:dyDescent="0.25">
      <c r="F69" t="s">
        <v>4170</v>
      </c>
      <c r="G69" t="s">
        <v>4166</v>
      </c>
      <c r="K69" s="32" t="s">
        <v>317</v>
      </c>
      <c r="L69" s="1">
        <v>50000</v>
      </c>
      <c r="M69" s="100"/>
      <c r="N69" s="121">
        <v>15000000</v>
      </c>
      <c r="O69" t="s">
        <v>4239</v>
      </c>
      <c r="Q69" s="121"/>
      <c r="R69" s="56"/>
      <c r="W69" s="119"/>
      <c r="AF69" s="20"/>
      <c r="AG69" s="121"/>
      <c r="AH69" s="121"/>
      <c r="AI69" s="20">
        <v>0</v>
      </c>
      <c r="AJ69" s="103">
        <f t="shared" si="17"/>
        <v>0</v>
      </c>
      <c r="AK69" s="117">
        <f t="shared" si="5"/>
        <v>0</v>
      </c>
      <c r="AL69" s="20"/>
      <c r="AO69" s="103">
        <v>6</v>
      </c>
      <c r="AP69" s="103" t="s">
        <v>4262</v>
      </c>
      <c r="AQ69" s="117">
        <v>3000000</v>
      </c>
      <c r="AR69" s="117">
        <v>1936648</v>
      </c>
      <c r="AS69" s="117">
        <v>954545</v>
      </c>
      <c r="AT69" s="117">
        <f t="shared" si="18"/>
        <v>108807</v>
      </c>
      <c r="AU69" s="103">
        <v>1</v>
      </c>
      <c r="AV69" s="103"/>
      <c r="AW69" s="117"/>
      <c r="AX69" s="117"/>
      <c r="AY69" s="103"/>
      <c r="AZ69" s="103" t="s">
        <v>4270</v>
      </c>
      <c r="BA69" s="103"/>
    </row>
    <row r="70" spans="1:53" x14ac:dyDescent="0.25">
      <c r="G70" t="s">
        <v>4167</v>
      </c>
      <c r="K70" s="32" t="s">
        <v>327</v>
      </c>
      <c r="L70" s="1">
        <v>150000</v>
      </c>
      <c r="M70" s="100"/>
      <c r="N70" s="121">
        <v>-12530539</v>
      </c>
      <c r="O70" t="s">
        <v>4222</v>
      </c>
      <c r="W70" s="172"/>
      <c r="AF70" s="20"/>
      <c r="AG70" s="121"/>
      <c r="AH70" s="121"/>
      <c r="AI70" s="20">
        <v>0</v>
      </c>
      <c r="AJ70" s="103">
        <f t="shared" si="17"/>
        <v>0</v>
      </c>
      <c r="AK70" s="121"/>
      <c r="AL70" s="20"/>
      <c r="AO70" s="103">
        <v>7</v>
      </c>
      <c r="AP70" s="103"/>
      <c r="AQ70" s="117"/>
      <c r="AR70" s="117"/>
      <c r="AS70" s="117"/>
      <c r="AT70" s="117">
        <f t="shared" si="18"/>
        <v>0</v>
      </c>
      <c r="AU70" s="103"/>
      <c r="AV70" s="103"/>
      <c r="AW70" s="117"/>
      <c r="AX70" s="117"/>
      <c r="AY70" s="103"/>
      <c r="AZ70" s="103"/>
      <c r="BA70" s="103"/>
    </row>
    <row r="71" spans="1:53" x14ac:dyDescent="0.25">
      <c r="G71" t="s">
        <v>4168</v>
      </c>
      <c r="K71" s="32" t="s">
        <v>318</v>
      </c>
      <c r="L71" s="1">
        <v>15000</v>
      </c>
      <c r="N71" s="55">
        <v>-2990000</v>
      </c>
      <c r="O71" t="s">
        <v>4223</v>
      </c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7"/>
        <v>0</v>
      </c>
      <c r="AK71" s="121"/>
      <c r="AL71" s="20"/>
      <c r="AO71" s="103">
        <v>8</v>
      </c>
      <c r="AP71" s="103"/>
      <c r="AQ71" s="117"/>
      <c r="AR71" s="117"/>
      <c r="AS71" s="117"/>
      <c r="AT71" s="117">
        <f t="shared" si="18"/>
        <v>0</v>
      </c>
      <c r="AU71" s="103"/>
      <c r="AV71" s="103"/>
      <c r="AW71" s="117"/>
      <c r="AX71" s="117"/>
      <c r="AY71" s="103"/>
      <c r="AZ71" s="103"/>
      <c r="BA71" s="103"/>
    </row>
    <row r="72" spans="1:53" x14ac:dyDescent="0.25">
      <c r="G72" t="s">
        <v>4172</v>
      </c>
      <c r="K72" s="32" t="s">
        <v>319</v>
      </c>
      <c r="L72" s="1">
        <v>20000</v>
      </c>
      <c r="N72" s="55">
        <v>15000000</v>
      </c>
      <c r="O72" t="s">
        <v>4238</v>
      </c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7"/>
        <v>0</v>
      </c>
      <c r="AK72" s="103"/>
      <c r="AL72" s="103"/>
      <c r="AO72" s="103">
        <v>9</v>
      </c>
      <c r="AP72" s="103"/>
      <c r="AQ72" s="117"/>
      <c r="AR72" s="117"/>
      <c r="AS72" s="117"/>
      <c r="AT72" s="117">
        <f t="shared" si="18"/>
        <v>0</v>
      </c>
      <c r="AU72" s="103"/>
      <c r="AV72" s="103"/>
      <c r="AW72" s="117"/>
      <c r="AX72" s="117"/>
      <c r="AY72" s="103"/>
      <c r="AZ72" s="103"/>
      <c r="BA72" s="103"/>
    </row>
    <row r="73" spans="1:53" x14ac:dyDescent="0.25">
      <c r="G73" t="s">
        <v>4171</v>
      </c>
      <c r="K73" s="32" t="s">
        <v>320</v>
      </c>
      <c r="L73" s="1">
        <v>40000</v>
      </c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7"/>
        <v>0</v>
      </c>
      <c r="AK73" s="103"/>
      <c r="AL73" s="103"/>
      <c r="AO73" s="103">
        <v>10</v>
      </c>
      <c r="AP73" s="103"/>
      <c r="AQ73" s="117"/>
      <c r="AR73" s="117"/>
      <c r="AS73" s="117"/>
      <c r="AT73" s="117">
        <f t="shared" si="18"/>
        <v>0</v>
      </c>
      <c r="AU73" s="103"/>
      <c r="AV73" s="103"/>
      <c r="AW73" s="117"/>
      <c r="AX73" s="117"/>
      <c r="AY73" s="103"/>
      <c r="AZ73" s="103"/>
      <c r="BA73" s="103"/>
    </row>
    <row r="74" spans="1:53" x14ac:dyDescent="0.25">
      <c r="K74" s="32" t="s">
        <v>322</v>
      </c>
      <c r="L74" s="1">
        <v>150000</v>
      </c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86801899</v>
      </c>
      <c r="AI74" s="103"/>
      <c r="AJ74" s="103"/>
      <c r="AK74" s="99">
        <f>SUM(AK20:AK70)</f>
        <v>5846532276</v>
      </c>
      <c r="AL74" s="99">
        <f>AK74*AL77/31</f>
        <v>3771956.3070967742</v>
      </c>
      <c r="AO74" s="103">
        <v>11</v>
      </c>
      <c r="AP74" s="103"/>
      <c r="AQ74" s="117"/>
      <c r="AR74" s="117"/>
      <c r="AS74" s="117"/>
      <c r="AT74" s="117">
        <f t="shared" si="18"/>
        <v>0</v>
      </c>
      <c r="AU74" s="103"/>
      <c r="AV74" s="103"/>
      <c r="AW74" s="117"/>
      <c r="AX74" s="117"/>
      <c r="AY74" s="103"/>
      <c r="AZ74" s="103"/>
      <c r="BA74" s="103"/>
    </row>
    <row r="75" spans="1:53" x14ac:dyDescent="0.25">
      <c r="K75" s="32" t="s">
        <v>324</v>
      </c>
      <c r="L75" s="1">
        <v>75000</v>
      </c>
      <c r="Q75" s="119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4108</v>
      </c>
      <c r="AI75" s="103"/>
      <c r="AJ75" s="103"/>
      <c r="AK75" s="103" t="s">
        <v>284</v>
      </c>
      <c r="AL75" s="103" t="s">
        <v>918</v>
      </c>
      <c r="AO75" s="103">
        <v>12</v>
      </c>
      <c r="AP75" s="103"/>
      <c r="AQ75" s="117"/>
      <c r="AR75" s="117"/>
      <c r="AS75" s="117"/>
      <c r="AT75" s="117">
        <f t="shared" si="18"/>
        <v>0</v>
      </c>
      <c r="AU75" s="103"/>
      <c r="AV75" s="103"/>
      <c r="AW75" s="117"/>
      <c r="AX75" s="117"/>
      <c r="AY75" s="103"/>
      <c r="AZ75" s="103"/>
      <c r="BA75" s="103"/>
    </row>
    <row r="76" spans="1:53" x14ac:dyDescent="0.25">
      <c r="K76" s="32" t="s">
        <v>314</v>
      </c>
      <c r="L76" s="1">
        <v>140000</v>
      </c>
      <c r="Q76" s="126"/>
      <c r="R76" s="119"/>
      <c r="S76" s="119"/>
      <c r="T76" s="119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  <c r="AO76" s="103">
        <v>13</v>
      </c>
      <c r="AP76" s="103"/>
      <c r="AQ76" s="117"/>
      <c r="AR76" s="117"/>
      <c r="AS76" s="117"/>
      <c r="AT76" s="117">
        <f t="shared" si="18"/>
        <v>0</v>
      </c>
      <c r="AU76" s="103"/>
      <c r="AV76" s="103"/>
      <c r="AW76" s="117"/>
      <c r="AX76" s="117"/>
      <c r="AY76" s="103"/>
      <c r="AZ76" s="103"/>
      <c r="BA76" s="103"/>
    </row>
    <row r="77" spans="1:53" x14ac:dyDescent="0.25">
      <c r="K77" s="2" t="s">
        <v>478</v>
      </c>
      <c r="L77" s="3">
        <v>1083333</v>
      </c>
      <c r="P77" s="119"/>
      <c r="Q77" s="126"/>
      <c r="R77" s="132"/>
      <c r="S77" s="126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4109</v>
      </c>
      <c r="AL77" s="103">
        <v>0.02</v>
      </c>
      <c r="AO77" s="103">
        <v>14</v>
      </c>
      <c r="AP77" s="103"/>
      <c r="AQ77" s="117"/>
      <c r="AR77" s="117"/>
      <c r="AS77" s="117"/>
      <c r="AT77" s="117">
        <f t="shared" si="18"/>
        <v>0</v>
      </c>
      <c r="AU77" s="103"/>
      <c r="AV77" s="103"/>
      <c r="AW77" s="117"/>
      <c r="AX77" s="117"/>
      <c r="AY77" s="103"/>
      <c r="AZ77" s="103"/>
      <c r="BA77" s="103"/>
    </row>
    <row r="78" spans="1:53" x14ac:dyDescent="0.25">
      <c r="K78" s="2"/>
      <c r="L78" s="3"/>
      <c r="P78" s="132"/>
      <c r="Q78" s="126"/>
      <c r="R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  <c r="AO78" s="103">
        <v>15</v>
      </c>
      <c r="AP78" s="103"/>
      <c r="AQ78" s="117"/>
      <c r="AR78" s="117"/>
      <c r="AS78" s="117">
        <v>0</v>
      </c>
      <c r="AT78" s="117">
        <f t="shared" si="18"/>
        <v>0</v>
      </c>
      <c r="AU78" s="103"/>
      <c r="AV78" s="103">
        <f t="shared" si="19"/>
        <v>0</v>
      </c>
      <c r="AW78" s="117">
        <f t="shared" si="15"/>
        <v>0</v>
      </c>
      <c r="AX78" s="117">
        <f t="shared" si="16"/>
        <v>0</v>
      </c>
      <c r="AY78" s="103">
        <f t="shared" si="20"/>
        <v>0</v>
      </c>
      <c r="AZ78" s="103"/>
      <c r="BA78" s="103"/>
    </row>
    <row r="79" spans="1:53" x14ac:dyDescent="0.25">
      <c r="K79" s="2"/>
      <c r="L79" s="3"/>
      <c r="P79" s="132"/>
      <c r="Q79" s="126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4110</v>
      </c>
      <c r="AH79" s="99">
        <f>AH74+AL74</f>
        <v>90573855.307096779</v>
      </c>
      <c r="AI79" s="103"/>
      <c r="AJ79" s="103"/>
      <c r="AK79" s="103"/>
      <c r="AL79" s="103"/>
      <c r="AO79" s="103">
        <v>16</v>
      </c>
      <c r="AP79" s="103"/>
      <c r="AQ79" s="117"/>
      <c r="AR79" s="117"/>
      <c r="AS79" s="117">
        <v>0</v>
      </c>
      <c r="AT79" s="117">
        <f t="shared" si="18"/>
        <v>0</v>
      </c>
      <c r="AU79" s="103"/>
      <c r="AV79" s="103">
        <f t="shared" si="19"/>
        <v>0</v>
      </c>
      <c r="AW79" s="117">
        <f t="shared" si="15"/>
        <v>0</v>
      </c>
      <c r="AX79" s="117">
        <f t="shared" si="16"/>
        <v>0</v>
      </c>
      <c r="AY79" s="103">
        <f t="shared" si="20"/>
        <v>0</v>
      </c>
      <c r="AZ79" s="103"/>
      <c r="BA79" s="103"/>
    </row>
    <row r="80" spans="1:53" x14ac:dyDescent="0.25">
      <c r="K80" s="2" t="s">
        <v>6</v>
      </c>
      <c r="L80" s="3">
        <f>SUM(L57:L78)</f>
        <v>3383333</v>
      </c>
      <c r="P80" s="119"/>
      <c r="W80" s="119"/>
      <c r="X80" s="119"/>
      <c r="Y80" s="119"/>
      <c r="Z80" s="119"/>
      <c r="AA80" s="119"/>
      <c r="AB80" s="119"/>
      <c r="AC80" s="119"/>
      <c r="AD80" s="119"/>
      <c r="AG80" t="s">
        <v>4113</v>
      </c>
      <c r="AH80" s="118">
        <f>Z41</f>
        <v>118135416.09999999</v>
      </c>
      <c r="AO80" s="103">
        <v>17</v>
      </c>
      <c r="AP80" s="103"/>
      <c r="AQ80" s="117"/>
      <c r="AR80" s="117"/>
      <c r="AS80" s="117">
        <v>0</v>
      </c>
      <c r="AT80" s="117">
        <f t="shared" si="18"/>
        <v>0</v>
      </c>
      <c r="AU80" s="103"/>
      <c r="AV80" s="103"/>
      <c r="AW80" s="117"/>
      <c r="AX80" s="117">
        <f t="shared" si="16"/>
        <v>0</v>
      </c>
      <c r="AY80" s="103"/>
      <c r="AZ80" s="103"/>
      <c r="BA80" s="103"/>
    </row>
    <row r="81" spans="11:53" x14ac:dyDescent="0.25">
      <c r="K81" s="2" t="s">
        <v>328</v>
      </c>
      <c r="L81" s="3">
        <f>L80/30</f>
        <v>112777.76666666666</v>
      </c>
      <c r="X81" s="119"/>
      <c r="Y81" s="119"/>
      <c r="Z81" s="119"/>
      <c r="AA81" s="119"/>
      <c r="AB81" s="132"/>
      <c r="AC81" s="119"/>
      <c r="AD81" s="119"/>
      <c r="AG81" t="s">
        <v>4114</v>
      </c>
      <c r="AH81" s="118">
        <f>AH80-AH79</f>
        <v>27561560.792903215</v>
      </c>
      <c r="AO81" s="103">
        <v>18</v>
      </c>
      <c r="AP81" s="103"/>
      <c r="AQ81" s="117">
        <f>SUM(AQ64:AQ79)</f>
        <v>110181778</v>
      </c>
      <c r="AR81" s="117">
        <f>SUM(AR64:AR80)</f>
        <v>70364744</v>
      </c>
      <c r="AS81" s="117">
        <f>SUM(AS64:AS80)</f>
        <v>34817039</v>
      </c>
      <c r="AT81" s="117">
        <f>SUM(AT64:AT79)</f>
        <v>4999995</v>
      </c>
      <c r="AU81" s="103"/>
      <c r="AV81" s="103"/>
      <c r="AW81" s="117">
        <f>SUM(AW64:AW80)</f>
        <v>139204714</v>
      </c>
      <c r="AX81" s="117">
        <f>SUM(AX64:AX80)</f>
        <v>83245527</v>
      </c>
      <c r="AY81" s="103">
        <f>SUM(AY64:AY79)</f>
        <v>9782376</v>
      </c>
      <c r="AZ81" s="103"/>
      <c r="BA81" s="103"/>
    </row>
    <row r="82" spans="11:53" x14ac:dyDescent="0.25">
      <c r="O82" s="119"/>
      <c r="Q82" s="22"/>
      <c r="X82" s="119"/>
      <c r="Y82" s="119"/>
      <c r="Z82" s="119"/>
      <c r="AA82" s="119"/>
      <c r="AB82" s="119"/>
      <c r="AC82" s="119"/>
      <c r="AD82" s="119"/>
      <c r="AQ82" t="s">
        <v>947</v>
      </c>
      <c r="AR82" s="100" t="s">
        <v>4232</v>
      </c>
      <c r="AS82" s="100" t="s">
        <v>4233</v>
      </c>
      <c r="AT82" t="s">
        <v>4259</v>
      </c>
      <c r="AW82" t="s">
        <v>37</v>
      </c>
      <c r="AX82" t="s">
        <v>4234</v>
      </c>
      <c r="AY82" t="s">
        <v>4258</v>
      </c>
    </row>
    <row r="83" spans="11:53" x14ac:dyDescent="0.25">
      <c r="O83" s="119"/>
      <c r="AU83" t="s">
        <v>25</v>
      </c>
    </row>
    <row r="84" spans="11:53" x14ac:dyDescent="0.25">
      <c r="AR84" s="100" t="s">
        <v>25</v>
      </c>
    </row>
    <row r="86" spans="11:53" x14ac:dyDescent="0.25">
      <c r="AT86" t="s">
        <v>25</v>
      </c>
    </row>
    <row r="87" spans="11:53" x14ac:dyDescent="0.25">
      <c r="K87" s="48" t="s">
        <v>790</v>
      </c>
      <c r="L87" s="48" t="s">
        <v>476</v>
      </c>
      <c r="AS87" s="100" t="s">
        <v>25</v>
      </c>
    </row>
    <row r="88" spans="11:53" x14ac:dyDescent="0.25">
      <c r="K88" s="47">
        <v>700000</v>
      </c>
      <c r="L88" s="48" t="s">
        <v>1042</v>
      </c>
      <c r="AS88" s="100" t="s">
        <v>25</v>
      </c>
    </row>
    <row r="89" spans="11:53" x14ac:dyDescent="0.25">
      <c r="K89" s="47">
        <v>500000</v>
      </c>
      <c r="L89" s="48" t="s">
        <v>479</v>
      </c>
      <c r="AO89" t="s">
        <v>4189</v>
      </c>
    </row>
    <row r="90" spans="11:53" x14ac:dyDescent="0.25">
      <c r="K90" s="47">
        <v>180000</v>
      </c>
      <c r="L90" s="48" t="s">
        <v>558</v>
      </c>
      <c r="AO90" t="s">
        <v>4190</v>
      </c>
      <c r="AP90">
        <v>2.6199999999999999E-3</v>
      </c>
      <c r="AT90" t="s">
        <v>25</v>
      </c>
    </row>
    <row r="91" spans="11:53" x14ac:dyDescent="0.25">
      <c r="K91" s="47">
        <v>0</v>
      </c>
      <c r="L91" s="48" t="s">
        <v>786</v>
      </c>
      <c r="AO91" t="s">
        <v>4191</v>
      </c>
      <c r="AP91">
        <v>2.7799999999999999E-3</v>
      </c>
    </row>
    <row r="92" spans="11:53" x14ac:dyDescent="0.25">
      <c r="K92" s="47">
        <v>0</v>
      </c>
      <c r="L92" s="48" t="s">
        <v>787</v>
      </c>
      <c r="AO92" t="s">
        <v>4192</v>
      </c>
      <c r="AP92" t="s">
        <v>4193</v>
      </c>
    </row>
    <row r="93" spans="11:53" x14ac:dyDescent="0.25">
      <c r="K93" s="47">
        <v>500000</v>
      </c>
      <c r="L93" s="48" t="s">
        <v>788</v>
      </c>
    </row>
    <row r="94" spans="11:53" x14ac:dyDescent="0.25">
      <c r="K94" s="47">
        <v>75000</v>
      </c>
      <c r="L94" s="48" t="s">
        <v>789</v>
      </c>
    </row>
    <row r="95" spans="11:53" x14ac:dyDescent="0.25">
      <c r="K95" s="47">
        <v>0</v>
      </c>
      <c r="L95" s="48" t="s">
        <v>791</v>
      </c>
    </row>
    <row r="96" spans="11:53" x14ac:dyDescent="0.25">
      <c r="K96" s="47">
        <v>500000</v>
      </c>
      <c r="L96" s="48" t="s">
        <v>564</v>
      </c>
    </row>
    <row r="97" spans="8:43" x14ac:dyDescent="0.25">
      <c r="K97" s="47">
        <v>50000</v>
      </c>
      <c r="L97" s="48" t="s">
        <v>794</v>
      </c>
      <c r="AO97" t="s">
        <v>4204</v>
      </c>
      <c r="AP97" t="s">
        <v>4205</v>
      </c>
      <c r="AQ97" t="s">
        <v>4206</v>
      </c>
    </row>
    <row r="98" spans="8:43" x14ac:dyDescent="0.25">
      <c r="H98" s="100"/>
      <c r="K98" s="47">
        <v>140000</v>
      </c>
      <c r="L98" s="48" t="s">
        <v>314</v>
      </c>
      <c r="AO98" t="s">
        <v>4207</v>
      </c>
      <c r="AP98" t="s">
        <v>4208</v>
      </c>
      <c r="AQ98" t="s">
        <v>4206</v>
      </c>
    </row>
    <row r="99" spans="8:43" x14ac:dyDescent="0.25">
      <c r="K99" s="47"/>
      <c r="L99" s="48" t="s">
        <v>25</v>
      </c>
    </row>
    <row r="100" spans="8:43" x14ac:dyDescent="0.25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4069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4009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4011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4070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4035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4068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4066</v>
      </c>
      <c r="B41" s="117">
        <v>-315101</v>
      </c>
      <c r="C41" s="103" t="s">
        <v>4067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4076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3995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4022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4022</v>
      </c>
      <c r="B4" s="18">
        <v>-32000</v>
      </c>
      <c r="C4" s="18">
        <v>0</v>
      </c>
      <c r="D4" s="117">
        <f t="shared" si="0"/>
        <v>-32000</v>
      </c>
      <c r="E4" s="103" t="s">
        <v>4004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4024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4058</v>
      </c>
      <c r="B6" s="18">
        <v>-9396</v>
      </c>
      <c r="C6" s="18">
        <v>0</v>
      </c>
      <c r="D6" s="117">
        <f t="shared" si="0"/>
        <v>-9396</v>
      </c>
      <c r="E6" s="19" t="s">
        <v>4061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4062</v>
      </c>
      <c r="B7" s="18">
        <v>-43300</v>
      </c>
      <c r="C7" s="18">
        <v>0</v>
      </c>
      <c r="D7" s="117">
        <f t="shared" si="0"/>
        <v>-43300</v>
      </c>
      <c r="E7" s="19" t="s">
        <v>4061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4075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4079</v>
      </c>
      <c r="B9" s="18">
        <v>3000000</v>
      </c>
      <c r="C9" s="18">
        <v>0</v>
      </c>
      <c r="D9" s="117">
        <f t="shared" si="0"/>
        <v>3000000</v>
      </c>
      <c r="E9" s="21" t="s">
        <v>4078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4077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4003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4013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4030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4031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4032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4034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4039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4040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4043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4052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4053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4054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4055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4060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4063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4065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3994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0" t="s">
        <v>4080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31" workbookViewId="0">
      <selection activeCell="G40" sqref="G40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3997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15000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4262664.7266881028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5" t="s">
        <v>1096</v>
      </c>
      <c r="AJ50" s="195"/>
      <c r="AK50" s="195"/>
      <c r="AL50" s="195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5"/>
      <c r="AJ51" s="195"/>
      <c r="AK51" s="195"/>
      <c r="AL51" s="195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4148</v>
      </c>
      <c r="AI52" s="196" t="s">
        <v>1097</v>
      </c>
      <c r="AJ52" s="197" t="s">
        <v>1098</v>
      </c>
      <c r="AK52" s="196" t="s">
        <v>1099</v>
      </c>
      <c r="AL52" s="198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6"/>
      <c r="AJ53" s="197"/>
      <c r="AK53" s="196"/>
      <c r="AL53" s="198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0"/>
      <c r="AH54" s="187">
        <v>2182188588</v>
      </c>
      <c r="AI54" s="188" t="s">
        <v>1101</v>
      </c>
      <c r="AJ54" s="188" t="s">
        <v>4149</v>
      </c>
      <c r="AK54" s="188" t="s">
        <v>4154</v>
      </c>
      <c r="AL54" s="188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0"/>
      <c r="AH55" s="187">
        <v>2126210865</v>
      </c>
      <c r="AI55" s="189" t="s">
        <v>1103</v>
      </c>
      <c r="AJ55" s="189" t="s">
        <v>1104</v>
      </c>
      <c r="AK55" s="189" t="s">
        <v>1105</v>
      </c>
      <c r="AL55" s="189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0"/>
      <c r="AH56" s="187">
        <v>2188831909</v>
      </c>
      <c r="AI56" s="103" t="s">
        <v>4151</v>
      </c>
      <c r="AJ56" s="103" t="s">
        <v>4152</v>
      </c>
      <c r="AK56" s="103" t="s">
        <v>4153</v>
      </c>
      <c r="AL56" s="192" t="s">
        <v>4155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4141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3989</v>
      </c>
      <c r="D3" t="s">
        <v>3988</v>
      </c>
      <c r="G3" t="s">
        <v>3990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3991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3994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2018-09-13T19:09:01Z</dcterms:modified>
</cp:coreProperties>
</file>