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E16" i="18" l="1"/>
  <c r="N28" i="18"/>
  <c r="G30" i="34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X32" i="32" l="1"/>
  <c r="AC15" i="33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2" i="13" l="1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D184" i="15" l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P70" i="32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N25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50" i="20"/>
  <c r="J151" i="20"/>
  <c r="J152" i="20"/>
  <c r="J153" i="20"/>
  <c r="J154" i="20"/>
  <c r="J155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H151" i="20"/>
  <c r="H152" i="20"/>
  <c r="H153" i="20"/>
  <c r="H154" i="20"/>
  <c r="H155" i="20"/>
  <c r="I140" i="20"/>
  <c r="D139" i="20"/>
  <c r="J149" i="20" l="1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N27" i="18" l="1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<sst xmlns="http://schemas.openxmlformats.org/spreadsheetml/2006/main" count="2683" uniqueCount="1114">
  <si>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</si>
  <si>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</si>
  <si>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</si>
  <si>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</si>
  <si>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</si>
  <si>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</si>
  <si>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</si>
  <si>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</si>
  <si>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</si>
  <si>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</si>
  <si>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</si>
  <si>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</si>
  <si>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</si>
  <si>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</si>
  <si>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</si>
  <si>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</si>
  <si>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</si>
  <si>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</si>
  <si>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</si>
  <si>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</si>
  <si>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</si>
  <si>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</si>
  <si>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</si>
  <si>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</si>
  <si>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</si>
  <si>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</si>
  <si>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</si>
  <si>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</si>
  <si>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</si>
  <si>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</si>
  <si>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</si>
  <si>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</si>
  <si>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</si>
  <si>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</si>
  <si>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</si>
  <si>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</si>
  <si>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</si>
  <si>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</si>
  <si>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</si>
  <si>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</si>
  <si>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</si>
  <si>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</si>
  <si>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</si>
  <si>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</si>
  <si>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</si>
  <si>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</si>
  <si>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</si>
  <si>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</si>
  <si>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</si>
  <si>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</si>
  <si>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</si>
  <si>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</si>
  <si>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</si>
  <si>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</si>
  <si>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</si>
  <si>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</si>
  <si>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</si>
  <si>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</si>
  <si>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</si>
  <si>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</si>
  <si>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</si>
  <si>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</si>
  <si>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</si>
  <si>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</si>
  <si>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</si>
  <si>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</si>
  <si>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</si>
  <si>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</si>
  <si>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</si>
  <si>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</si>
  <si>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</si>
  <si>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</si>
  <si>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</si>
  <si>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</si>
  <si>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</si>
  <si>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</si>
  <si>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</si>
  <si>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</si>
  <si>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</si>
  <si>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</si>
  <si>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</si>
  <si>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</si>
  <si>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</si>
  <si>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</si>
  <si>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</si>
  <si>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</si>
  <si>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</si>
  <si>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</si>
  <si>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</si>
  <si>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</si>
  <si>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</si>
  <si>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</si>
  <si>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</si>
  <si>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</si>
  <si>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</si>
  <si>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</si>
  <si>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</si>
  <si>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</si>
  <si>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</si>
  <si>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</si>
  <si>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</si>
  <si>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</si>
  <si>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</si>
  <si>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</si>
  <si>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</si>
  <si>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</si>
  <si>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</si>
  <si>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</si>
  <si>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</si>
  <si>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</si>
  <si>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</si>
  <si>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</si>
  <si>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</si>
  <si>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</si>
  <si>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</si>
  <si>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</si>
  <si>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</si>
  <si>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</si>
  <si>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</si>
  <si>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</si>
  <si>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</si>
  <si>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</si>
  <si>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</si>
  <si>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</si>
  <si>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</si>
  <si>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</si>
  <si>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</si>
  <si>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</si>
  <si>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</si>
  <si>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</si>
  <si>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</si>
  <si>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</si>
  <si>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</si>
  <si>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</si>
  <si>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</si>
  <si>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</si>
  <si>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</si>
  <si>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</si>
  <si>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</si>
  <si>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</si>
  <si>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</si>
  <si>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</si>
  <si>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</si>
  <si>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</si>
  <si>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</si>
  <si>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</si>
  <si>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</si>
  <si>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</si>
  <si>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</si>
  <si>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</si>
  <si>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</si>
  <si>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</si>
  <si>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</si>
  <si>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</si>
  <si>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</si>
  <si>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</si>
  <si>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</si>
  <si>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</si>
  <si>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</si>
  <si>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</si>
  <si>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</si>
  <si>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</si>
  <si>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</si>
  <si>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</si>
  <si>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</si>
  <si>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</si>
  <si>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</si>
  <si>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</si>
  <si>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</si>
  <si>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</si>
  <si>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</si>
  <si>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</si>
  <si>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</si>
  <si>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</si>
  <si>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</si>
  <si>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</si>
  <si>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</si>
  <si>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</si>
  <si>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</si>
  <si>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</si>
  <si>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</si>
  <si>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</si>
  <si>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</si>
  <si>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</si>
  <si>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</si>
  <si>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</si>
  <si>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</si>
  <si>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</si>
  <si>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</si>
  <si>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</si>
  <si>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</si>
  <si>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</si>
  <si>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</si>
  <si>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</si>
  <si>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</si>
  <si>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</si>
  <si>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</si>
  <si>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</si>
  <si>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</si>
  <si>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</si>
  <si>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</si>
  <si>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</si>
  <si>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</si>
  <si>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</si>
  <si>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</si>
  <si>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</si>
  <si>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</si>
  <si>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</si>
  <si>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</si>
  <si>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</si>
  <si>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</si>
  <si>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</si>
  <si>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</si>
  <si>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</si>
  <si>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</si>
  <si>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</si>
  <si>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</si>
  <si>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</si>
  <si>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</si>
  <si>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</si>
  <si>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</si>
  <si>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</si>
  <si>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</si>
  <si>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</si>
  <si>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</si>
  <si>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</si>
  <si>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</si>
  <si>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</si>
  <si>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</si>
  <si>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</si>
  <si>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</si>
  <si>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</si>
  <si>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</si>
  <si>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</si>
  <si>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</si>
  <si>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</si>
  <si>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</si>
  <si>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</si>
  <si>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</si>
  <si>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</si>
  <si>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</si>
  <si>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</si>
  <si>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</si>
  <si>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</si>
  <si>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</si>
  <si>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</si>
  <si>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</si>
  <si>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</si>
  <si>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</si>
  <si>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</si>
  <si>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</si>
  <si>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</si>
  <si>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</si>
  <si>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</si>
  <si>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</si>
  <si>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</si>
  <si>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</si>
  <si>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</si>
  <si>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</si>
  <si>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</si>
  <si>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</si>
  <si>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</si>
  <si>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</si>
  <si>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</si>
  <si>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</si>
  <si>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</si>
  <si>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</si>
  <si>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</si>
  <si>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</si>
  <si>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</si>
  <si>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</si>
  <si>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</si>
  <si>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</si>
  <si>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</si>
  <si>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</si>
  <si>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</si>
  <si>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</si>
  <si>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</si>
  <si>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</si>
  <si>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</si>
  <si>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</si>
  <si>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</si>
  <si>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</si>
  <si>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</si>
  <si>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</si>
  <si>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</si>
  <si>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</si>
  <si>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</si>
  <si>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</si>
  <si>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</si>
  <si>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</si>
  <si>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</si>
  <si>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</si>
  <si>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</si>
  <si>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</si>
  <si>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</si>
  <si>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</si>
  <si>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</si>
  <si>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</si>
  <si>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</si>
  <si>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</si>
  <si>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</si>
  <si>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</si>
  <si>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</si>
  <si>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</si>
  <si>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</si>
  <si>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</si>
  <si>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</si>
  <si>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</si>
  <si>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</si>
  <si>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</si>
  <si>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</si>
  <si>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</si>
  <si>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</si>
  <si>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</si>
  <si>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</si>
  <si>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</si>
  <si>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</si>
  <si>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</si>
  <si>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</si>
  <si>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</si>
  <si>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</si>
  <si>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</si>
  <si>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</si>
  <si>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</si>
  <si>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</si>
  <si>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</si>
  <si>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</si>
  <si>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</si>
  <si>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</si>
  <si>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</si>
  <si>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</si>
  <si>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</si>
  <si>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</si>
  <si>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</si>
  <si>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</si>
  <si>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</si>
  <si>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</si>
  <si>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</si>
  <si>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</si>
  <si>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</si>
  <si>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</si>
  <si>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</si>
  <si>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</si>
  <si>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</si>
  <si>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</si>
  <si>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</si>
  <si>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</si>
  <si>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</si>
  <si>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</si>
  <si>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</si>
  <si>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</si>
  <si>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</si>
  <si>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</si>
  <si>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</si>
  <si>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</si>
  <si>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</si>
  <si>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</si>
  <si>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</si>
  <si>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</si>
  <si>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</si>
  <si>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</si>
  <si>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</si>
  <si>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</si>
  <si>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</si>
  <si>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</si>
  <si>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</si>
  <si>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</si>
  <si>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</si>
  <si>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</si>
  <si>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</si>
  <si>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</si>
  <si>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</si>
  <si>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</si>
  <si>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</si>
  <si>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</si>
  <si>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</si>
  <si>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</si>
  <si>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</si>
  <si>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</si>
  <si>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</si>
  <si>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</si>
  <si>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</si>
  <si>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</si>
  <si>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</si>
  <si>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</si>
  <si>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</si>
  <si>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</si>
  <si>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</si>
  <si>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</si>
  <si>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</si>
  <si>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</si>
  <si>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</si>
  <si>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</si>
  <si>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</si>
  <si>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</si>
  <si>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</si>
  <si>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</si>
  <si>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</si>
  <si>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</si>
  <si>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</si>
  <si>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</si>
  <si>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</si>
  <si>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</si>
  <si>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</si>
  <si>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</si>
  <si>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</si>
  <si>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</si>
  <si>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</si>
  <si>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</si>
  <si>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</si>
  <si>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</si>
  <si>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</si>
  <si>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</si>
  <si>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</si>
  <si>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</si>
  <si>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</si>
  <si>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</si>
  <si>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</si>
  <si>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</si>
  <si>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</si>
  <si>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</si>
  <si>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</si>
  <si>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</si>
  <si>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</si>
  <si>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</si>
  <si>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</si>
  <si>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</si>
  <si>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</si>
  <si>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</si>
  <si>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</si>
  <si>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</si>
  <si>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</si>
  <si>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</si>
  <si>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</si>
  <si>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</si>
  <si>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</si>
  <si>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</si>
  <si>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</si>
  <si>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</si>
  <si>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</si>
  <si>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</si>
  <si>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</si>
  <si>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</si>
  <si>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</si>
  <si>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</si>
  <si>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</si>
  <si>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</si>
  <si>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</si>
  <si>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</si>
  <si>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</si>
  <si>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</si>
  <si>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</si>
  <si>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</si>
  <si>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</si>
  <si>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</si>
  <si>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</si>
  <si>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</si>
  <si>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</si>
  <si>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</si>
  <si>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</si>
  <si>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</si>
  <si>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</si>
  <si>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</si>
  <si>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</si>
  <si>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</si>
  <si>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</si>
  <si>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</si>
  <si>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</si>
  <si>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</si>
  <si>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</si>
  <si>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</si>
  <si>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</si>
  <si>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</si>
  <si>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</si>
  <si>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</si>
  <si>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</si>
  <si>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</si>
  <si>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</si>
  <si>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</si>
  <si>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</si>
  <si>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</si>
  <si>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</si>
  <si>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</si>
  <si>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</si>
  <si>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</si>
  <si>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</si>
  <si>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</si>
  <si>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</si>
  <si>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</si>
  <si>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</si>
  <si>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</si>
  <si>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</si>
  <si>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</si>
  <si>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</si>
  <si>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</si>
  <si>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</si>
  <si>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</si>
  <si>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</si>
  <si>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</si>
  <si>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</si>
  <si>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</si>
  <si>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</si>
  <si>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</si>
  <si>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</si>
  <si>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</si>
  <si>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</si>
  <si>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</si>
  <si>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</si>
  <si>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</si>
  <si>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</si>
  <si>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</si>
  <si>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</si>
  <si>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</si>
  <si>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</si>
  <si>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</si>
  <si>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</si>
  <si>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</si>
  <si>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</si>
  <si>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</si>
  <si>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</si>
  <si>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</si>
  <si>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</si>
  <si>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</si>
  <si>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</si>
  <si>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</si>
  <si>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</si>
  <si>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</si>
  <si>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</si>
  <si>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</si>
  <si>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</si>
  <si>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</si>
  <si>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</si>
  <si>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</si>
  <si>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</si>
  <si>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</si>
  <si>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</si>
  <si>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</si>
  <si>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</si>
  <si>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</si>
  <si>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</si>
  <si>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</si>
  <si>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</si>
  <si>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</si>
  <si>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</si>
  <si>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</si>
  <si>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</si>
  <si>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</si>
  <si>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</si>
  <si>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</si>
  <si>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</si>
  <si>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</si>
  <si>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</si>
  <si>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</si>
  <si>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</si>
  <si>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</si>
  <si>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</si>
  <si>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</si>
  <si>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</si>
  <si>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</si>
  <si>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</si>
  <si>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</si>
  <si>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</si>
  <si>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</si>
  <si>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</si>
  <si>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</si>
  <si>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</si>
  <si>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</si>
  <si>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</si>
  <si>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</si>
  <si>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</si>
  <si>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</si>
  <si>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</si>
  <si>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</si>
  <si>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</si>
  <si>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</si>
  <si>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</si>
  <si>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</si>
  <si>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</si>
  <si>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</si>
  <si>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</si>
  <si>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</si>
  <si>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</si>
  <si>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</si>
  <si>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</si>
  <si>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</si>
  <si>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</si>
  <si>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</si>
  <si>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</si>
  <si>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</si>
  <si>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</si>
  <si>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</si>
  <si>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</si>
  <si>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</si>
  <si>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</si>
  <si>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</si>
  <si>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</si>
  <si>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</si>
  <si>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</si>
  <si>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</si>
  <si>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</si>
  <si>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</si>
  <si>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</si>
  <si>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</si>
  <si>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</si>
  <si>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</si>
  <si>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</si>
  <si>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</si>
  <si>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</si>
  <si>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</si>
  <si>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</si>
  <si>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</si>
  <si>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</si>
  <si>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</si>
  <si>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</si>
  <si>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</si>
  <si>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</si>
  <si>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</si>
  <si>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</si>
  <si>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</si>
  <si>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</si>
  <si>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</si>
  <si>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</si>
  <si>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</si>
  <si>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</si>
  <si>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</si>
  <si>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</si>
  <si>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</si>
  <si>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</si>
  <si>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</si>
  <si>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</si>
  <si>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</si>
  <si>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</si>
  <si>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</si>
  <si>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</si>
  <si>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</si>
  <si>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</si>
  <si>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</si>
  <si>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</si>
  <si>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</si>
  <si>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</si>
  <si>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</si>
  <si>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</si>
  <si>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</si>
  <si>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</si>
  <si>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</si>
  <si>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</si>
  <si>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</si>
  <si>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</si>
  <si>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</si>
  <si>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</si>
  <si>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</si>
  <si>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</si>
  <si>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</si>
  <si>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</si>
  <si>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</si>
  <si>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</si>
  <si>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</si>
  <si>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</si>
  <si>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</si>
  <si>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</si>
  <si>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</si>
  <si>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</si>
  <si>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</si>
  <si>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</si>
  <si>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</si>
  <si>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</si>
  <si>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</si>
  <si>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</si>
  <si>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</si>
  <si>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</si>
  <si>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</si>
  <si>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</si>
  <si>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</si>
  <si>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</si>
  <si>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</si>
  <si>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</si>
  <si>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</si>
  <si>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</si>
  <si>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</si>
  <si>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</si>
  <si>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</si>
  <si>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</si>
  <si>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</si>
  <si>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</si>
  <si>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</si>
  <si>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</si>
  <si>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</si>
  <si>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</si>
  <si>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</si>
  <si>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</si>
  <si>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</si>
  <si>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</si>
  <si>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</si>
  <si>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</si>
  <si>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</si>
  <si>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</si>
  <si>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</si>
  <si>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</si>
  <si>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</si>
  <si>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</si>
  <si>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</si>
  <si>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</si>
  <si>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</si>
  <si>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</si>
  <si>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</si>
  <si>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</si>
  <si>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</si>
  <si>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</si>
  <si>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</si>
  <si>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</si>
  <si>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</si>
  <si>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</si>
  <si>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</si>
  <si>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</si>
  <si>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</si>
  <si>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</si>
  <si>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</si>
  <si>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</si>
  <si>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</si>
  <si>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</si>
  <si>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</si>
  <si>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</si>
  <si>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</si>
  <si>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</si>
  <si>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</si>
  <si>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</si>
  <si>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</si>
  <si>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</si>
  <si>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</si>
  <si>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</si>
  <si>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</si>
  <si>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</si>
  <si>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</si>
  <si>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</si>
  <si>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</si>
  <si>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</si>
  <si>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</si>
  <si>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</si>
  <si>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</si>
  <si>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</si>
  <si>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</si>
  <si>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</si>
  <si>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</si>
  <si>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</si>
  <si>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</si>
  <si>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</si>
  <si>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</si>
  <si>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</si>
  <si>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</si>
  <si>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</si>
  <si>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</si>
  <si>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</si>
  <si>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</si>
  <si>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</si>
  <si>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</si>
  <si>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</si>
  <si>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</si>
  <si>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</si>
  <si>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</si>
  <si>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</si>
  <si>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</si>
  <si>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</si>
  <si>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</si>
  <si>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</si>
  <si>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</si>
  <si>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</si>
  <si>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</si>
  <si>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</si>
  <si>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</si>
  <si>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</si>
  <si>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</si>
  <si>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</si>
  <si>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</si>
  <si>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</si>
  <si>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</si>
  <si>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</si>
  <si>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</si>
  <si>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</si>
  <si>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</si>
  <si>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</si>
  <si>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</si>
  <si>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</si>
  <si>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</si>
  <si>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</si>
  <si>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</si>
  <si>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</si>
  <si>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</si>
  <si>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</si>
  <si>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</si>
  <si>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</si>
  <si>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</si>
  <si>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</si>
  <si>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</si>
  <si>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</si>
  <si>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</si>
  <si>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</si>
  <si>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</si>
  <si>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</si>
  <si>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</si>
  <si>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</si>
  <si>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</si>
  <si>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</si>
  <si>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</si>
  <si>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</si>
  <si>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</si>
  <si>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</si>
  <si>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</si>
  <si>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</si>
  <si>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</si>
  <si>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</si>
  <si>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</si>
  <si>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</si>
  <si>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</si>
  <si>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</si>
  <si>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</si>
  <si>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</si>
  <si>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</si>
  <si>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</si>
  <si>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</si>
  <si>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</si>
  <si>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</si>
  <si>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</si>
  <si>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</si>
  <si>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</si>
  <si>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</si>
  <si>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</si>
  <si>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</si>
  <si>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</si>
  <si>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</si>
  <si>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</si>
  <si>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</si>
  <si>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</si>
  <si>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</si>
  <si>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</si>
  <si>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</si>
  <si>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</si>
  <si>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</si>
  <si>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</si>
  <si>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</si>
  <si>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</si>
  <si>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</si>
  <si>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</si>
  <si>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</si>
  <si>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</si>
  <si>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</si>
  <si>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</si>
  <si>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</si>
  <si>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</si>
  <si>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</si>
  <si>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</si>
  <si>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</si>
  <si>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</si>
  <si>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</si>
  <si>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</si>
  <si>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</si>
  <si>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</si>
  <si>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</si>
  <si>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</si>
  <si>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</si>
  <si>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</si>
  <si>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</si>
  <si>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</si>
  <si>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</si>
  <si>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</si>
  <si>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</si>
  <si>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</si>
  <si>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</si>
  <si>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</si>
  <si>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</si>
  <si>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</si>
  <si>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</si>
  <si>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</si>
  <si>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</si>
  <si>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</si>
  <si>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</si>
  <si>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</si>
  <si>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</si>
  <si>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</si>
  <si>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</si>
  <si>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</si>
  <si>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</si>
  <si>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</si>
  <si>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</si>
  <si>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</si>
  <si>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</si>
  <si>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</si>
  <si>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</si>
  <si>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</si>
  <si>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</si>
  <si>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</si>
  <si>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</si>
  <si>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</si>
  <si>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</si>
  <si>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</si>
  <si>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</si>
  <si>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</si>
  <si>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</si>
  <si>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</si>
  <si>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</si>
  <si>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</si>
  <si>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</si>
  <si>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</si>
  <si>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</si>
  <si>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</si>
  <si>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</si>
  <si>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</si>
  <si>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</si>
  <si>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</si>
  <si>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</si>
  <si>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</si>
  <si>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</si>
  <si>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</si>
  <si>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</si>
  <si>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</si>
  <si>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</si>
  <si>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</si>
  <si>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</si>
  <si>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</si>
  <si>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</si>
  <si>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</si>
  <si>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</si>
  <si>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</si>
  <si>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</si>
  <si>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</si>
  <si>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</si>
  <si>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</si>
  <si>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</si>
  <si>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</si>
  <si>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</si>
  <si>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</si>
  <si>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</si>
  <si>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</si>
  <si>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</si>
  <si>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</si>
  <si>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</si>
  <si>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</si>
  <si>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</si>
  <si>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</si>
  <si>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</si>
  <si>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</si>
  <si>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</si>
  <si>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</si>
  <si>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</si>
  <si>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</si>
  <si>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</si>
  <si>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</si>
  <si>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</si>
  <si>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</si>
  <si>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</si>
  <si>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</si>
  <si>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</si>
  <si>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</si>
  <si>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</si>
  <si>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</si>
  <si>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</si>
  <si>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</si>
  <si>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</si>
  <si>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</si>
  <si>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</si>
  <si>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</si>
  <si>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</si>
  <si>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</si>
  <si>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</si>
  <si>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</si>
  <si>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</si>
  <si>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</si>
  <si>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</si>
  <si>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</si>
  <si>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</si>
  <si>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</si>
  <si>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</si>
  <si>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</si>
  <si>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</si>
  <si>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</si>
  <si>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</si>
  <si>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</si>
  <si>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</si>
  <si>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</si>
  <si>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</si>
  <si>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</si>
  <si>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</si>
  <si>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</si>
  <si>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</si>
  <si>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</si>
  <si>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</si>
  <si>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</si>
  <si>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</si>
  <si>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</si>
  <si>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</si>
  <si>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</si>
  <si>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</si>
  <si>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</si>
  <si>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</si>
  <si>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</si>
  <si>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</si>
  <si>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</si>
  <si>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</si>
  <si>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</si>
  <si>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</si>
  <si>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</si>
  <si>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</si>
  <si>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</si>
  <si>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</si>
  <si>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</si>
  <si>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</si>
  <si>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</si>
  <si>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</si>
  <si>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</si>
  <si>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</si>
  <si>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</si>
  <si>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</si>
  <si>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</si>
  <si>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</si>
  <si>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</si>
  <si>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</si>
  <si>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</si>
  <si>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</si>
  <si>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</si>
  <si>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</si>
  <si>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</si>
  <si>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</si>
  <si>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</si>
  <si>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</si>
  <si>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</si>
  <si>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</si>
  <si>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</si>
  <si>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</si>
  <si>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</si>
  <si>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</si>
  <si>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</si>
  <si>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</si>
  <si>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</si>
  <si>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</si>
  <si>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</si>
  <si>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</si>
  <si>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</si>
  <si>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</si>
  <si>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</si>
  <si>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</si>
  <si>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</si>
  <si>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</si>
  <si>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</si>
  <si>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</si>
  <si>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</si>
  <si>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</si>
  <si>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</si>
  <si>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</si>
  <si>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</si>
  <si>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</si>
  <si>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</si>
  <si>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</si>
  <si>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</si>
  <si>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</si>
  <si>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</si>
  <si>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</si>
  <si>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</si>
  <si>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</si>
  <si>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</si>
  <si>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</si>
  <si>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</si>
  <si>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</si>
  <si>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</si>
  <si>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</si>
  <si>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</si>
  <si>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</si>
  <si>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</si>
  <si>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</si>
  <si>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</si>
  <si>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</si>
  <si>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</si>
  <si>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</si>
  <si>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</si>
  <si>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</si>
  <si>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</si>
  <si>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</si>
  <si>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</si>
  <si>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</si>
  <si>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</si>
  <si>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</si>
  <si>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</si>
  <si>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</si>
  <si>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</si>
  <si>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</si>
  <si>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</si>
  <si>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</si>
  <si>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</si>
  <si>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</si>
  <si>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</si>
  <si>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</si>
  <si>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</si>
  <si>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</si>
  <si>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</si>
  <si>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</si>
  <si>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</si>
  <si>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</si>
  <si>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</si>
  <si>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</si>
  <si>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</si>
  <si>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</si>
  <si>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</si>
  <si>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</si>
  <si>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</si>
  <si>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</si>
  <si>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</si>
  <si>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</si>
  <si>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</si>
  <si>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</si>
  <si>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</si>
  <si>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</si>
  <si>
    <t>IR750140040000410021484671</t>
  </si>
  <si>
    <t>18/01/1395</t>
  </si>
  <si>
    <t>8/1/1397</t>
  </si>
  <si>
    <t>از حساب ملت علی بابت بورس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</si>
</sst>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G35" sqref="G3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1071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1112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1113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932</v>
      </c>
      <c r="B4" s="18">
        <v>0</v>
      </c>
      <c r="C4" s="18">
        <v>0</v>
      </c>
      <c r="D4" s="3">
        <f t="shared" si="0"/>
        <v>0</v>
      </c>
      <c r="E4" s="11" t="s">
        <v>938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959</v>
      </c>
      <c r="B5" s="18">
        <v>0</v>
      </c>
      <c r="C5" s="18">
        <v>0</v>
      </c>
      <c r="D5" s="3">
        <f t="shared" si="0"/>
        <v>0</v>
      </c>
      <c r="E5" s="20" t="s">
        <v>1044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1071</v>
      </c>
      <c r="B6" s="18">
        <v>0</v>
      </c>
      <c r="C6" s="18">
        <v>0</v>
      </c>
      <c r="D6" s="3">
        <f t="shared" si="0"/>
        <v>0</v>
      </c>
      <c r="E6" s="19" t="s">
        <v>1073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60810423</v>
      </c>
      <c r="C24" s="3">
        <f>SUM(C2:C22)</f>
        <v>7551324</v>
      </c>
      <c r="D24" s="3">
        <f>SUM(D2:D22)</f>
        <v>53259099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1457512690</v>
      </c>
      <c r="H25" s="18">
        <f>SUM(H2:H23)</f>
        <v>226539720</v>
      </c>
      <c r="I25" s="18">
        <f>SUM(I2:I23)</f>
        <v>1230972970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399318.54520547943</v>
      </c>
      <c r="H30" s="18">
        <f>G30*H25/G25</f>
        <v>62065.676712328765</v>
      </c>
      <c r="I30" s="18">
        <f>G30*I25/G25</f>
        <v>337252.86849315063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1074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1090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28" activePane="bottomLeft" state="frozen"/>
      <selection pane="bottomLeft" activeCell="F150" sqref="F15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718</v>
      </c>
      <c r="H2" s="36">
        <f>IF(B2&gt;0,1,0)</f>
        <v>1</v>
      </c>
      <c r="I2" s="11">
        <f>B2*(G2-H2)</f>
        <v>11973900</v>
      </c>
      <c r="J2" s="53">
        <f>C2*(G2-H2)</f>
        <v>11973900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717</v>
      </c>
      <c r="H3" s="36">
        <f t="shared" ref="H3:H66" si="2">IF(B3&gt;0,1,0)</f>
        <v>1</v>
      </c>
      <c r="I3" s="11">
        <f t="shared" ref="I3:I66" si="3">B3*(G3-H3)</f>
        <v>14248400000</v>
      </c>
      <c r="J3" s="53">
        <f t="shared" ref="J3:J66" si="4">C3*(G3-H3)</f>
        <v>8153092000</v>
      </c>
      <c r="K3" s="53">
        <f t="shared" ref="K3:K66" si="5">D3*(G3-H3)</f>
        <v>6095308000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717</v>
      </c>
      <c r="H4" s="36">
        <f t="shared" si="2"/>
        <v>0</v>
      </c>
      <c r="I4" s="11">
        <f t="shared" si="3"/>
        <v>0</v>
      </c>
      <c r="J4" s="53">
        <f t="shared" si="4"/>
        <v>6094500</v>
      </c>
      <c r="K4" s="53">
        <f t="shared" si="5"/>
        <v>-6094500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715</v>
      </c>
      <c r="H5" s="36">
        <f t="shared" si="2"/>
        <v>1</v>
      </c>
      <c r="I5" s="11">
        <f t="shared" si="3"/>
        <v>1428000000</v>
      </c>
      <c r="J5" s="53">
        <f t="shared" si="4"/>
        <v>0</v>
      </c>
      <c r="K5" s="53">
        <f t="shared" si="5"/>
        <v>1428000000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708</v>
      </c>
      <c r="H6" s="36">
        <f t="shared" si="2"/>
        <v>0</v>
      </c>
      <c r="I6" s="11">
        <f t="shared" si="3"/>
        <v>-3540000</v>
      </c>
      <c r="J6" s="53">
        <f t="shared" si="4"/>
        <v>0</v>
      </c>
      <c r="K6" s="53">
        <f t="shared" si="5"/>
        <v>-3540000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704</v>
      </c>
      <c r="H7" s="36">
        <f t="shared" si="2"/>
        <v>0</v>
      </c>
      <c r="I7" s="11">
        <f t="shared" si="3"/>
        <v>-845152000</v>
      </c>
      <c r="J7" s="53">
        <f t="shared" si="4"/>
        <v>0</v>
      </c>
      <c r="K7" s="53">
        <f t="shared" si="5"/>
        <v>-845152000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703</v>
      </c>
      <c r="H8" s="36">
        <f t="shared" si="2"/>
        <v>0</v>
      </c>
      <c r="I8" s="11">
        <f t="shared" si="3"/>
        <v>-140600000</v>
      </c>
      <c r="J8" s="53">
        <f t="shared" si="4"/>
        <v>0</v>
      </c>
      <c r="K8" s="53">
        <f t="shared" si="5"/>
        <v>-140600000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701</v>
      </c>
      <c r="H9" s="36">
        <f t="shared" si="2"/>
        <v>0</v>
      </c>
      <c r="I9" s="11">
        <f t="shared" si="3"/>
        <v>-494555500</v>
      </c>
      <c r="J9" s="53">
        <f t="shared" si="4"/>
        <v>0</v>
      </c>
      <c r="K9" s="53">
        <f t="shared" si="5"/>
        <v>-494555500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692</v>
      </c>
      <c r="H10" s="36">
        <f t="shared" si="2"/>
        <v>0</v>
      </c>
      <c r="I10" s="11">
        <f t="shared" si="3"/>
        <v>-138400000</v>
      </c>
      <c r="J10" s="53">
        <f t="shared" si="4"/>
        <v>0</v>
      </c>
      <c r="K10" s="53">
        <f t="shared" si="5"/>
        <v>-138400000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692</v>
      </c>
      <c r="H11" s="36">
        <f t="shared" si="2"/>
        <v>1</v>
      </c>
      <c r="I11" s="11">
        <f t="shared" si="3"/>
        <v>691000000</v>
      </c>
      <c r="J11" s="53">
        <f t="shared" si="4"/>
        <v>0</v>
      </c>
      <c r="K11" s="53">
        <f t="shared" si="5"/>
        <v>691000000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688</v>
      </c>
      <c r="H12" s="36">
        <f t="shared" si="2"/>
        <v>0</v>
      </c>
      <c r="I12" s="11">
        <f t="shared" si="3"/>
        <v>-206400000</v>
      </c>
      <c r="J12" s="53">
        <f t="shared" si="4"/>
        <v>0</v>
      </c>
      <c r="K12" s="53">
        <f t="shared" si="5"/>
        <v>-206400000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683</v>
      </c>
      <c r="H13" s="36">
        <f t="shared" si="2"/>
        <v>0</v>
      </c>
      <c r="I13" s="11">
        <f t="shared" si="3"/>
        <v>-42346000</v>
      </c>
      <c r="J13" s="53">
        <f t="shared" si="4"/>
        <v>0</v>
      </c>
      <c r="K13" s="53">
        <f t="shared" si="5"/>
        <v>-42346000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683</v>
      </c>
      <c r="H14" s="36">
        <f t="shared" si="2"/>
        <v>1</v>
      </c>
      <c r="I14" s="11">
        <f t="shared" si="3"/>
        <v>1364000000</v>
      </c>
      <c r="J14" s="53">
        <f t="shared" si="4"/>
        <v>0</v>
      </c>
      <c r="K14" s="53">
        <f t="shared" si="5"/>
        <v>1364000000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682</v>
      </c>
      <c r="H15" s="36">
        <f t="shared" si="2"/>
        <v>1</v>
      </c>
      <c r="I15" s="11">
        <f t="shared" si="3"/>
        <v>1225800000</v>
      </c>
      <c r="J15" s="53">
        <f t="shared" si="4"/>
        <v>0</v>
      </c>
      <c r="K15" s="53">
        <f t="shared" si="5"/>
        <v>1225800000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682</v>
      </c>
      <c r="H16" s="36">
        <f t="shared" si="2"/>
        <v>0</v>
      </c>
      <c r="I16" s="11">
        <f t="shared" si="3"/>
        <v>-136400000</v>
      </c>
      <c r="J16" s="53">
        <f t="shared" si="4"/>
        <v>0</v>
      </c>
      <c r="K16" s="53">
        <f t="shared" si="5"/>
        <v>-136400000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678</v>
      </c>
      <c r="H17" s="36">
        <f t="shared" si="2"/>
        <v>0</v>
      </c>
      <c r="I17" s="11">
        <f t="shared" si="3"/>
        <v>-1356000000</v>
      </c>
      <c r="J17" s="53">
        <f t="shared" si="4"/>
        <v>0</v>
      </c>
      <c r="K17" s="53">
        <f t="shared" si="5"/>
        <v>-1356000000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677</v>
      </c>
      <c r="H18" s="36">
        <f t="shared" si="2"/>
        <v>0</v>
      </c>
      <c r="I18" s="11">
        <f t="shared" si="3"/>
        <v>-203100000</v>
      </c>
      <c r="J18" s="53">
        <f t="shared" si="4"/>
        <v>0</v>
      </c>
      <c r="K18" s="53">
        <f t="shared" si="5"/>
        <v>-203100000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676</v>
      </c>
      <c r="H19" s="36">
        <f t="shared" si="2"/>
        <v>0</v>
      </c>
      <c r="I19" s="11">
        <f t="shared" si="3"/>
        <v>-135200000</v>
      </c>
      <c r="J19" s="53">
        <f t="shared" si="4"/>
        <v>0</v>
      </c>
      <c r="K19" s="53">
        <f t="shared" si="5"/>
        <v>-135200000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674</v>
      </c>
      <c r="H20" s="36">
        <f t="shared" si="2"/>
        <v>1</v>
      </c>
      <c r="I20" s="11">
        <f t="shared" si="3"/>
        <v>182442897</v>
      </c>
      <c r="J20" s="53">
        <f t="shared" si="4"/>
        <v>99235196</v>
      </c>
      <c r="K20" s="53">
        <f t="shared" si="5"/>
        <v>83207701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672</v>
      </c>
      <c r="H21" s="36">
        <f t="shared" si="2"/>
        <v>0</v>
      </c>
      <c r="I21" s="11">
        <f t="shared" si="3"/>
        <v>-1011830400</v>
      </c>
      <c r="J21" s="53">
        <f t="shared" si="4"/>
        <v>0</v>
      </c>
      <c r="K21" s="53">
        <f t="shared" si="5"/>
        <v>-1011830400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669</v>
      </c>
      <c r="H22" s="36">
        <f t="shared" si="2"/>
        <v>1</v>
      </c>
      <c r="I22" s="11">
        <f t="shared" si="3"/>
        <v>2004000000</v>
      </c>
      <c r="J22" s="53">
        <f t="shared" si="4"/>
        <v>0</v>
      </c>
      <c r="K22" s="53">
        <f t="shared" si="5"/>
        <v>2004000000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668</v>
      </c>
      <c r="H23" s="36">
        <f t="shared" si="2"/>
        <v>1</v>
      </c>
      <c r="I23" s="11">
        <f t="shared" si="3"/>
        <v>667000000</v>
      </c>
      <c r="J23" s="53">
        <f t="shared" si="4"/>
        <v>0</v>
      </c>
      <c r="K23" s="53">
        <f t="shared" si="5"/>
        <v>667000000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667</v>
      </c>
      <c r="H24" s="36">
        <f t="shared" si="2"/>
        <v>0</v>
      </c>
      <c r="I24" s="11">
        <f t="shared" si="3"/>
        <v>-2001600300</v>
      </c>
      <c r="J24" s="53">
        <f t="shared" si="4"/>
        <v>0</v>
      </c>
      <c r="K24" s="53">
        <f t="shared" si="5"/>
        <v>-2001600300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652</v>
      </c>
      <c r="H25" s="36">
        <f t="shared" si="2"/>
        <v>1</v>
      </c>
      <c r="I25" s="11">
        <f t="shared" si="3"/>
        <v>976500000</v>
      </c>
      <c r="J25" s="53">
        <f t="shared" si="4"/>
        <v>0</v>
      </c>
      <c r="K25" s="53">
        <f t="shared" si="5"/>
        <v>976500000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644</v>
      </c>
      <c r="H26" s="36">
        <f t="shared" si="2"/>
        <v>0</v>
      </c>
      <c r="I26" s="11">
        <f t="shared" si="3"/>
        <v>-105616000</v>
      </c>
      <c r="J26" s="53">
        <f t="shared" si="4"/>
        <v>0</v>
      </c>
      <c r="K26" s="53">
        <f t="shared" si="5"/>
        <v>-105616000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643</v>
      </c>
      <c r="H27" s="36">
        <f t="shared" si="2"/>
        <v>1</v>
      </c>
      <c r="I27" s="11">
        <f t="shared" si="3"/>
        <v>128010306</v>
      </c>
      <c r="J27" s="53">
        <f t="shared" si="4"/>
        <v>68959146</v>
      </c>
      <c r="K27" s="53">
        <f t="shared" si="5"/>
        <v>59051160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641</v>
      </c>
      <c r="H28" s="36">
        <f t="shared" si="2"/>
        <v>0</v>
      </c>
      <c r="I28" s="11">
        <f t="shared" si="3"/>
        <v>-141661000</v>
      </c>
      <c r="J28" s="53">
        <f t="shared" si="4"/>
        <v>-141661000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641</v>
      </c>
      <c r="H29" s="36">
        <f t="shared" si="2"/>
        <v>0</v>
      </c>
      <c r="I29" s="11">
        <f t="shared" si="3"/>
        <v>-320820500</v>
      </c>
      <c r="J29" s="53">
        <f t="shared" si="4"/>
        <v>0</v>
      </c>
      <c r="K29" s="53">
        <f t="shared" si="5"/>
        <v>-320820500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641</v>
      </c>
      <c r="H30" s="36">
        <f t="shared" si="2"/>
        <v>0</v>
      </c>
      <c r="I30" s="11">
        <f t="shared" si="3"/>
        <v>-9615000000</v>
      </c>
      <c r="J30" s="53">
        <f t="shared" si="4"/>
        <v>-9615000000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624</v>
      </c>
      <c r="H31" s="36">
        <f t="shared" si="2"/>
        <v>0</v>
      </c>
      <c r="I31" s="11">
        <f t="shared" si="3"/>
        <v>-1878801600</v>
      </c>
      <c r="J31" s="53">
        <f t="shared" si="4"/>
        <v>0</v>
      </c>
      <c r="K31" s="53">
        <f t="shared" si="5"/>
        <v>-1878801600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622</v>
      </c>
      <c r="H32" s="36">
        <f t="shared" si="2"/>
        <v>0</v>
      </c>
      <c r="I32" s="11">
        <f t="shared" si="3"/>
        <v>-1869669800</v>
      </c>
      <c r="J32" s="53">
        <f t="shared" si="4"/>
        <v>0</v>
      </c>
      <c r="K32" s="53">
        <f t="shared" si="5"/>
        <v>-1869669800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621</v>
      </c>
      <c r="H33" s="36">
        <f t="shared" si="2"/>
        <v>0</v>
      </c>
      <c r="I33" s="11">
        <f t="shared" si="3"/>
        <v>-556105500</v>
      </c>
      <c r="J33" s="53">
        <f t="shared" si="4"/>
        <v>0</v>
      </c>
      <c r="K33" s="53">
        <f t="shared" si="5"/>
        <v>-556105500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621</v>
      </c>
      <c r="H34" s="36">
        <f t="shared" si="2"/>
        <v>0</v>
      </c>
      <c r="I34" s="11">
        <f t="shared" si="3"/>
        <v>0</v>
      </c>
      <c r="J34" s="53">
        <f t="shared" si="4"/>
        <v>621000000</v>
      </c>
      <c r="K34" s="53">
        <f t="shared" si="5"/>
        <v>-621000000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612</v>
      </c>
      <c r="H35" s="36">
        <f t="shared" si="2"/>
        <v>1</v>
      </c>
      <c r="I35" s="11">
        <f t="shared" si="3"/>
        <v>32060392</v>
      </c>
      <c r="J35" s="53">
        <f t="shared" si="4"/>
        <v>-13236093</v>
      </c>
      <c r="K35" s="53">
        <f t="shared" si="5"/>
        <v>45296485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612</v>
      </c>
      <c r="H36" s="36">
        <f t="shared" si="2"/>
        <v>0</v>
      </c>
      <c r="I36" s="11">
        <f t="shared" si="3"/>
        <v>0</v>
      </c>
      <c r="J36" s="53">
        <f t="shared" si="4"/>
        <v>13257756</v>
      </c>
      <c r="K36" s="53">
        <f t="shared" si="5"/>
        <v>-13257756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602</v>
      </c>
      <c r="H37" s="36">
        <f t="shared" si="2"/>
        <v>0</v>
      </c>
      <c r="I37" s="11">
        <f t="shared" si="3"/>
        <v>-33110000</v>
      </c>
      <c r="J37" s="53">
        <f t="shared" si="4"/>
        <v>0</v>
      </c>
      <c r="K37" s="53">
        <f t="shared" si="5"/>
        <v>-33110000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601</v>
      </c>
      <c r="H38" s="36">
        <f t="shared" si="2"/>
        <v>1</v>
      </c>
      <c r="I38" s="11">
        <f t="shared" si="3"/>
        <v>1800000000</v>
      </c>
      <c r="J38" s="53">
        <f t="shared" si="4"/>
        <v>1800000000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600</v>
      </c>
      <c r="H39" s="36">
        <f t="shared" si="2"/>
        <v>1</v>
      </c>
      <c r="I39" s="11">
        <f t="shared" si="3"/>
        <v>1497500000</v>
      </c>
      <c r="J39" s="53">
        <f t="shared" si="4"/>
        <v>1497500000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600</v>
      </c>
      <c r="H40" s="36">
        <f t="shared" si="2"/>
        <v>0</v>
      </c>
      <c r="I40" s="11">
        <f t="shared" si="3"/>
        <v>-30000000</v>
      </c>
      <c r="J40" s="53">
        <f t="shared" si="4"/>
        <v>0</v>
      </c>
      <c r="K40" s="53">
        <f t="shared" si="5"/>
        <v>-30000000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600</v>
      </c>
      <c r="H41" s="36">
        <f t="shared" si="2"/>
        <v>1</v>
      </c>
      <c r="I41" s="11">
        <f t="shared" si="3"/>
        <v>1797000000</v>
      </c>
      <c r="J41" s="53">
        <f t="shared" si="4"/>
        <v>0</v>
      </c>
      <c r="K41" s="53">
        <f t="shared" si="5"/>
        <v>1797000000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597</v>
      </c>
      <c r="H42" s="36">
        <f t="shared" si="2"/>
        <v>0</v>
      </c>
      <c r="I42" s="11">
        <f t="shared" si="3"/>
        <v>-53252400</v>
      </c>
      <c r="J42" s="53">
        <f t="shared" si="4"/>
        <v>0</v>
      </c>
      <c r="K42" s="53">
        <f t="shared" si="5"/>
        <v>-53252400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593</v>
      </c>
      <c r="H43" s="36">
        <f t="shared" si="2"/>
        <v>0</v>
      </c>
      <c r="I43" s="11">
        <f t="shared" si="3"/>
        <v>-118600000</v>
      </c>
      <c r="J43" s="53">
        <f t="shared" si="4"/>
        <v>0</v>
      </c>
      <c r="K43" s="53">
        <f t="shared" si="5"/>
        <v>-118600000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591</v>
      </c>
      <c r="H44" s="36">
        <f t="shared" si="2"/>
        <v>0</v>
      </c>
      <c r="I44" s="11">
        <f t="shared" si="3"/>
        <v>-118200000</v>
      </c>
      <c r="J44" s="53">
        <f t="shared" si="4"/>
        <v>0</v>
      </c>
      <c r="K44" s="53">
        <f t="shared" si="5"/>
        <v>-118200000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591</v>
      </c>
      <c r="H45" s="36">
        <f t="shared" si="2"/>
        <v>0</v>
      </c>
      <c r="I45" s="11">
        <f t="shared" si="3"/>
        <v>-330960000</v>
      </c>
      <c r="J45" s="53">
        <f t="shared" si="4"/>
        <v>0</v>
      </c>
      <c r="K45" s="53">
        <f t="shared" si="5"/>
        <v>-330960000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587</v>
      </c>
      <c r="H46" s="36">
        <f t="shared" si="2"/>
        <v>0</v>
      </c>
      <c r="I46" s="11">
        <f t="shared" si="3"/>
        <v>-414128500</v>
      </c>
      <c r="J46" s="53">
        <f t="shared" si="4"/>
        <v>0</v>
      </c>
      <c r="K46" s="53">
        <f t="shared" si="5"/>
        <v>-414128500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581</v>
      </c>
      <c r="H47" s="36">
        <f t="shared" si="2"/>
        <v>1</v>
      </c>
      <c r="I47" s="11">
        <f t="shared" si="3"/>
        <v>23898320</v>
      </c>
      <c r="J47" s="53">
        <f t="shared" si="4"/>
        <v>3893540</v>
      </c>
      <c r="K47" s="53">
        <f t="shared" si="5"/>
        <v>20004780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581</v>
      </c>
      <c r="H48" s="36">
        <f t="shared" si="2"/>
        <v>1</v>
      </c>
      <c r="I48" s="11">
        <f t="shared" si="3"/>
        <v>988726000</v>
      </c>
      <c r="J48" s="53">
        <f t="shared" si="4"/>
        <v>0</v>
      </c>
      <c r="K48" s="53">
        <f t="shared" si="5"/>
        <v>988726000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572</v>
      </c>
      <c r="H49" s="36">
        <f t="shared" si="2"/>
        <v>0</v>
      </c>
      <c r="I49" s="11">
        <f t="shared" si="3"/>
        <v>-88660000</v>
      </c>
      <c r="J49" s="53">
        <f t="shared" si="4"/>
        <v>0</v>
      </c>
      <c r="K49" s="53">
        <f t="shared" si="5"/>
        <v>-88660000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572</v>
      </c>
      <c r="H50" s="36">
        <f t="shared" si="2"/>
        <v>0</v>
      </c>
      <c r="I50" s="11">
        <f t="shared" si="3"/>
        <v>-78936000</v>
      </c>
      <c r="J50" s="53">
        <f t="shared" si="4"/>
        <v>0</v>
      </c>
      <c r="K50" s="53">
        <f t="shared" si="5"/>
        <v>-78936000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572</v>
      </c>
      <c r="H51" s="36">
        <f t="shared" si="2"/>
        <v>0</v>
      </c>
      <c r="I51" s="11">
        <f t="shared" si="3"/>
        <v>-423280000</v>
      </c>
      <c r="J51" s="53">
        <f t="shared" si="4"/>
        <v>0</v>
      </c>
      <c r="K51" s="53">
        <f t="shared" si="5"/>
        <v>-423280000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572</v>
      </c>
      <c r="H52" s="36">
        <f t="shared" si="2"/>
        <v>0</v>
      </c>
      <c r="I52" s="11">
        <f t="shared" si="3"/>
        <v>-114400000</v>
      </c>
      <c r="J52" s="53">
        <f t="shared" si="4"/>
        <v>0</v>
      </c>
      <c r="K52" s="53">
        <f t="shared" si="5"/>
        <v>-114400000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571</v>
      </c>
      <c r="H53" s="36">
        <f t="shared" si="2"/>
        <v>0</v>
      </c>
      <c r="I53" s="11">
        <f t="shared" si="3"/>
        <v>-602405000</v>
      </c>
      <c r="J53" s="53">
        <f t="shared" si="4"/>
        <v>0</v>
      </c>
      <c r="K53" s="53">
        <f t="shared" si="5"/>
        <v>-602405000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571</v>
      </c>
      <c r="H54" s="36">
        <f t="shared" si="2"/>
        <v>0</v>
      </c>
      <c r="I54" s="11">
        <f t="shared" si="3"/>
        <v>-114200000</v>
      </c>
      <c r="J54" s="53">
        <f t="shared" si="4"/>
        <v>0</v>
      </c>
      <c r="K54" s="53">
        <f t="shared" si="5"/>
        <v>-114200000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571</v>
      </c>
      <c r="H55" s="36">
        <f t="shared" si="2"/>
        <v>0</v>
      </c>
      <c r="I55" s="11">
        <f t="shared" si="3"/>
        <v>-571285500</v>
      </c>
      <c r="J55" s="53">
        <f t="shared" si="4"/>
        <v>0</v>
      </c>
      <c r="K55" s="53">
        <f t="shared" si="5"/>
        <v>-571285500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571</v>
      </c>
      <c r="H56" s="36">
        <f t="shared" si="2"/>
        <v>0</v>
      </c>
      <c r="I56" s="11">
        <f t="shared" si="3"/>
        <v>-21698000</v>
      </c>
      <c r="J56" s="53">
        <f t="shared" si="4"/>
        <v>0</v>
      </c>
      <c r="K56" s="53">
        <f t="shared" si="5"/>
        <v>-21698000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571</v>
      </c>
      <c r="H57" s="36">
        <f t="shared" si="2"/>
        <v>0</v>
      </c>
      <c r="I57" s="11">
        <f t="shared" si="3"/>
        <v>-59955000</v>
      </c>
      <c r="J57" s="53">
        <f t="shared" si="4"/>
        <v>0</v>
      </c>
      <c r="K57" s="53">
        <f t="shared" si="5"/>
        <v>-59955000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571</v>
      </c>
      <c r="H58" s="36">
        <f t="shared" si="2"/>
        <v>0</v>
      </c>
      <c r="I58" s="11">
        <f t="shared" si="3"/>
        <v>-34260000</v>
      </c>
      <c r="J58" s="53">
        <f t="shared" si="4"/>
        <v>0</v>
      </c>
      <c r="K58" s="53">
        <f t="shared" si="5"/>
        <v>-34260000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568</v>
      </c>
      <c r="H59" s="36">
        <f t="shared" si="2"/>
        <v>1</v>
      </c>
      <c r="I59" s="11">
        <f t="shared" si="3"/>
        <v>567000000</v>
      </c>
      <c r="J59" s="53">
        <f t="shared" si="4"/>
        <v>567000000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567</v>
      </c>
      <c r="H60" s="36">
        <f t="shared" si="2"/>
        <v>1</v>
      </c>
      <c r="I60" s="11">
        <f t="shared" si="3"/>
        <v>1981000000</v>
      </c>
      <c r="J60" s="53">
        <f t="shared" si="4"/>
        <v>1981000000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565</v>
      </c>
      <c r="H61" s="36">
        <f t="shared" si="2"/>
        <v>1</v>
      </c>
      <c r="I61" s="11">
        <f t="shared" si="3"/>
        <v>564000000</v>
      </c>
      <c r="J61" s="53">
        <f t="shared" si="4"/>
        <v>564000000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565</v>
      </c>
      <c r="H62" s="36">
        <f t="shared" si="2"/>
        <v>1</v>
      </c>
      <c r="I62" s="11">
        <f t="shared" si="3"/>
        <v>1692000000</v>
      </c>
      <c r="J62" s="53">
        <f t="shared" si="4"/>
        <v>1692000000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563</v>
      </c>
      <c r="H63" s="36">
        <f t="shared" si="2"/>
        <v>0</v>
      </c>
      <c r="I63" s="11">
        <f t="shared" si="3"/>
        <v>-112600000</v>
      </c>
      <c r="J63" s="53">
        <f t="shared" si="4"/>
        <v>0</v>
      </c>
      <c r="K63" s="53">
        <f t="shared" si="5"/>
        <v>-112600000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558</v>
      </c>
      <c r="H64" s="36">
        <f t="shared" si="2"/>
        <v>0</v>
      </c>
      <c r="I64" s="11">
        <f t="shared" si="3"/>
        <v>-27900000</v>
      </c>
      <c r="J64" s="53">
        <f t="shared" si="4"/>
        <v>0</v>
      </c>
      <c r="K64" s="53">
        <f t="shared" si="5"/>
        <v>-27900000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554</v>
      </c>
      <c r="H65" s="36">
        <f t="shared" si="2"/>
        <v>0</v>
      </c>
      <c r="I65" s="11">
        <f t="shared" si="3"/>
        <v>-110800000</v>
      </c>
      <c r="J65" s="53">
        <f t="shared" si="4"/>
        <v>0</v>
      </c>
      <c r="K65" s="53">
        <f t="shared" si="5"/>
        <v>-110800000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551</v>
      </c>
      <c r="H66" s="36">
        <f t="shared" si="2"/>
        <v>0</v>
      </c>
      <c r="I66" s="11">
        <f t="shared" si="3"/>
        <v>-93670000</v>
      </c>
      <c r="J66" s="53">
        <f t="shared" si="4"/>
        <v>0</v>
      </c>
      <c r="K66" s="53">
        <f t="shared" si="5"/>
        <v>-93670000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550</v>
      </c>
      <c r="H67" s="36">
        <f t="shared" ref="H67:H131" si="8">IF(B67&gt;0,1,0)</f>
        <v>1</v>
      </c>
      <c r="I67" s="11">
        <f t="shared" ref="I67:I119" si="9">B67*(G67-H67)</f>
        <v>50137425</v>
      </c>
      <c r="J67" s="53">
        <f t="shared" ref="J67:J131" si="10">C67*(G67-H67)</f>
        <v>36081927</v>
      </c>
      <c r="K67" s="53">
        <f t="shared" ref="K67:K131" si="11">D67*(G67-H67)</f>
        <v>14055498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532</v>
      </c>
      <c r="H68" s="36">
        <f t="shared" si="8"/>
        <v>0</v>
      </c>
      <c r="I68" s="11">
        <f t="shared" si="9"/>
        <v>-77140000</v>
      </c>
      <c r="J68" s="53">
        <f t="shared" si="10"/>
        <v>0</v>
      </c>
      <c r="K68" s="53">
        <f t="shared" si="11"/>
        <v>-77140000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525</v>
      </c>
      <c r="H69" s="36">
        <f t="shared" si="8"/>
        <v>1</v>
      </c>
      <c r="I69" s="11">
        <f t="shared" si="9"/>
        <v>513520000</v>
      </c>
      <c r="J69" s="53">
        <f t="shared" si="10"/>
        <v>0</v>
      </c>
      <c r="K69" s="53">
        <f t="shared" si="11"/>
        <v>513520000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522</v>
      </c>
      <c r="H70" s="36">
        <f t="shared" si="8"/>
        <v>0</v>
      </c>
      <c r="I70" s="11">
        <f t="shared" si="9"/>
        <v>-24012000</v>
      </c>
      <c r="J70" s="53">
        <f t="shared" si="10"/>
        <v>0</v>
      </c>
      <c r="K70" s="53">
        <f t="shared" si="11"/>
        <v>-24012000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520</v>
      </c>
      <c r="H71" s="36">
        <f t="shared" si="8"/>
        <v>1</v>
      </c>
      <c r="I71" s="11">
        <f t="shared" si="9"/>
        <v>59860422</v>
      </c>
      <c r="J71" s="53">
        <f t="shared" si="10"/>
        <v>53878428</v>
      </c>
      <c r="K71" s="53">
        <f t="shared" si="11"/>
        <v>5981994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519</v>
      </c>
      <c r="H72" s="36">
        <f t="shared" si="8"/>
        <v>0</v>
      </c>
      <c r="I72" s="11">
        <f t="shared" si="9"/>
        <v>-78871911</v>
      </c>
      <c r="J72" s="53">
        <f t="shared" si="10"/>
        <v>0</v>
      </c>
      <c r="K72" s="53">
        <f t="shared" si="11"/>
        <v>-78871911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518</v>
      </c>
      <c r="H73" s="36">
        <f t="shared" si="8"/>
        <v>0</v>
      </c>
      <c r="I73" s="11">
        <f t="shared" si="9"/>
        <v>-417249000</v>
      </c>
      <c r="J73" s="53">
        <f t="shared" si="10"/>
        <v>0</v>
      </c>
      <c r="K73" s="53">
        <f t="shared" si="11"/>
        <v>-417249000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511</v>
      </c>
      <c r="H74" s="36">
        <f t="shared" si="8"/>
        <v>1</v>
      </c>
      <c r="I74" s="11">
        <f t="shared" si="9"/>
        <v>3567450000</v>
      </c>
      <c r="J74" s="53">
        <f t="shared" si="10"/>
        <v>0</v>
      </c>
      <c r="K74" s="53">
        <f t="shared" si="11"/>
        <v>3567450000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510</v>
      </c>
      <c r="H75" s="36">
        <f t="shared" si="8"/>
        <v>1</v>
      </c>
      <c r="I75" s="11">
        <f t="shared" si="9"/>
        <v>1527000000</v>
      </c>
      <c r="J75" s="53">
        <f t="shared" si="10"/>
        <v>0</v>
      </c>
      <c r="K75" s="53">
        <f t="shared" si="11"/>
        <v>1527000000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508</v>
      </c>
      <c r="H76" s="36">
        <f t="shared" si="8"/>
        <v>1</v>
      </c>
      <c r="I76" s="11">
        <f t="shared" si="9"/>
        <v>1521000000</v>
      </c>
      <c r="J76" s="53">
        <f t="shared" si="10"/>
        <v>0</v>
      </c>
      <c r="K76" s="53">
        <f t="shared" si="11"/>
        <v>1521000000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507</v>
      </c>
      <c r="H77" s="36">
        <f t="shared" si="8"/>
        <v>1</v>
      </c>
      <c r="I77" s="11">
        <f t="shared" si="9"/>
        <v>1518000000</v>
      </c>
      <c r="J77" s="53">
        <f t="shared" si="10"/>
        <v>0</v>
      </c>
      <c r="K77" s="53">
        <f t="shared" si="11"/>
        <v>1518000000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506</v>
      </c>
      <c r="H78" s="36">
        <f t="shared" si="8"/>
        <v>0</v>
      </c>
      <c r="I78" s="11">
        <f t="shared" si="9"/>
        <v>-1619200000</v>
      </c>
      <c r="J78" s="53">
        <f t="shared" si="10"/>
        <v>-1619200000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505</v>
      </c>
      <c r="H79" s="36">
        <f t="shared" si="8"/>
        <v>0</v>
      </c>
      <c r="I79" s="11">
        <f t="shared" si="9"/>
        <v>-404000000</v>
      </c>
      <c r="J79" s="53">
        <f t="shared" si="10"/>
        <v>-404000000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504</v>
      </c>
      <c r="H80" s="36">
        <f t="shared" si="8"/>
        <v>0</v>
      </c>
      <c r="I80" s="11">
        <f t="shared" si="9"/>
        <v>-24390072</v>
      </c>
      <c r="J80" s="53">
        <f t="shared" si="10"/>
        <v>0</v>
      </c>
      <c r="K80" s="53">
        <f t="shared" si="11"/>
        <v>-24390072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503</v>
      </c>
      <c r="H81" s="36">
        <f t="shared" si="8"/>
        <v>0</v>
      </c>
      <c r="I81" s="11">
        <f t="shared" si="9"/>
        <v>-70420000</v>
      </c>
      <c r="J81" s="53">
        <f t="shared" si="10"/>
        <v>0</v>
      </c>
      <c r="K81" s="53">
        <f t="shared" si="11"/>
        <v>-70420000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502</v>
      </c>
      <c r="H82" s="36">
        <f t="shared" si="8"/>
        <v>0</v>
      </c>
      <c r="I82" s="11">
        <f t="shared" si="9"/>
        <v>-125500000</v>
      </c>
      <c r="J82" s="53">
        <f t="shared" si="10"/>
        <v>0</v>
      </c>
      <c r="K82" s="53">
        <f t="shared" si="11"/>
        <v>-125500000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501</v>
      </c>
      <c r="H83" s="36">
        <f t="shared" si="8"/>
        <v>0</v>
      </c>
      <c r="I83" s="11">
        <f t="shared" si="9"/>
        <v>-100200000</v>
      </c>
      <c r="J83" s="53">
        <f t="shared" si="10"/>
        <v>0</v>
      </c>
      <c r="K83" s="53">
        <f t="shared" si="11"/>
        <v>-100200000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498</v>
      </c>
      <c r="H84" s="36">
        <f t="shared" si="8"/>
        <v>1</v>
      </c>
      <c r="I84" s="11">
        <f t="shared" si="9"/>
        <v>812694400</v>
      </c>
      <c r="J84" s="53">
        <f t="shared" si="10"/>
        <v>0</v>
      </c>
      <c r="K84" s="53">
        <f t="shared" si="11"/>
        <v>812694400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494</v>
      </c>
      <c r="H85" s="36">
        <f t="shared" si="8"/>
        <v>1</v>
      </c>
      <c r="I85" s="11">
        <f t="shared" si="9"/>
        <v>1232500000</v>
      </c>
      <c r="J85" s="53">
        <f t="shared" si="10"/>
        <v>0</v>
      </c>
      <c r="K85" s="53">
        <f t="shared" si="11"/>
        <v>1232500000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490</v>
      </c>
      <c r="H86" s="36">
        <f t="shared" si="8"/>
        <v>1</v>
      </c>
      <c r="I86" s="11">
        <f t="shared" si="9"/>
        <v>91100700</v>
      </c>
      <c r="J86" s="53">
        <f t="shared" si="10"/>
        <v>41540550</v>
      </c>
      <c r="K86" s="53">
        <f t="shared" si="11"/>
        <v>49560150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487</v>
      </c>
      <c r="H87" s="36">
        <f t="shared" si="8"/>
        <v>0</v>
      </c>
      <c r="I87" s="11">
        <f t="shared" si="9"/>
        <v>-97400000</v>
      </c>
      <c r="J87" s="53">
        <f t="shared" si="10"/>
        <v>0</v>
      </c>
      <c r="K87" s="53">
        <f t="shared" si="11"/>
        <v>-97400000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486</v>
      </c>
      <c r="H88" s="36">
        <f t="shared" si="8"/>
        <v>0</v>
      </c>
      <c r="I88" s="11">
        <f t="shared" si="9"/>
        <v>-57348000</v>
      </c>
      <c r="J88" s="53">
        <f t="shared" si="10"/>
        <v>-33534000</v>
      </c>
      <c r="K88" s="53">
        <f t="shared" si="11"/>
        <v>-23814000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478</v>
      </c>
      <c r="H89" s="36">
        <f t="shared" si="8"/>
        <v>0</v>
      </c>
      <c r="I89" s="11">
        <f t="shared" si="9"/>
        <v>-1530030200</v>
      </c>
      <c r="J89" s="53">
        <f t="shared" si="10"/>
        <v>0</v>
      </c>
      <c r="K89" s="53">
        <f t="shared" si="11"/>
        <v>-1530030200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477</v>
      </c>
      <c r="H90" s="36">
        <f t="shared" si="8"/>
        <v>0</v>
      </c>
      <c r="I90" s="11">
        <f t="shared" si="9"/>
        <v>-1526829300</v>
      </c>
      <c r="J90" s="53">
        <f t="shared" si="10"/>
        <v>0</v>
      </c>
      <c r="K90" s="53">
        <f t="shared" si="11"/>
        <v>-1526829300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476</v>
      </c>
      <c r="H91" s="36">
        <f t="shared" si="8"/>
        <v>0</v>
      </c>
      <c r="I91" s="11">
        <f t="shared" si="9"/>
        <v>-1523628400</v>
      </c>
      <c r="J91" s="53">
        <f t="shared" si="10"/>
        <v>0</v>
      </c>
      <c r="K91" s="53">
        <f t="shared" si="11"/>
        <v>-1523628400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475</v>
      </c>
      <c r="H92" s="36">
        <f t="shared" si="8"/>
        <v>0</v>
      </c>
      <c r="I92" s="11">
        <f t="shared" si="9"/>
        <v>-1520427500</v>
      </c>
      <c r="J92" s="53">
        <f t="shared" si="10"/>
        <v>0</v>
      </c>
      <c r="K92" s="53">
        <f t="shared" si="11"/>
        <v>-1520427500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474</v>
      </c>
      <c r="H93" s="36">
        <f t="shared" si="8"/>
        <v>0</v>
      </c>
      <c r="I93" s="11">
        <f t="shared" si="9"/>
        <v>-1517226600</v>
      </c>
      <c r="J93" s="53">
        <f t="shared" si="10"/>
        <v>0</v>
      </c>
      <c r="K93" s="53">
        <f t="shared" si="11"/>
        <v>-1517226600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473</v>
      </c>
      <c r="H94" s="36">
        <f t="shared" si="8"/>
        <v>0</v>
      </c>
      <c r="I94" s="11">
        <f t="shared" si="9"/>
        <v>-1514025700</v>
      </c>
      <c r="J94" s="53">
        <f t="shared" si="10"/>
        <v>0</v>
      </c>
      <c r="K94" s="53">
        <f t="shared" si="11"/>
        <v>-1514025700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471</v>
      </c>
      <c r="H95" s="36">
        <f t="shared" si="8"/>
        <v>0</v>
      </c>
      <c r="I95" s="11">
        <f t="shared" si="9"/>
        <v>-563596716</v>
      </c>
      <c r="J95" s="53">
        <f t="shared" si="10"/>
        <v>0</v>
      </c>
      <c r="K95" s="53">
        <f t="shared" si="11"/>
        <v>-563596716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461</v>
      </c>
      <c r="H96" s="36">
        <f t="shared" si="8"/>
        <v>0</v>
      </c>
      <c r="I96" s="11">
        <f t="shared" si="9"/>
        <v>-92200000</v>
      </c>
      <c r="J96" s="53">
        <f t="shared" si="10"/>
        <v>0</v>
      </c>
      <c r="K96" s="53">
        <f t="shared" si="11"/>
        <v>-92200000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460</v>
      </c>
      <c r="H97" s="36">
        <f t="shared" si="8"/>
        <v>1</v>
      </c>
      <c r="I97" s="11">
        <f t="shared" si="9"/>
        <v>73237122</v>
      </c>
      <c r="J97" s="53">
        <f t="shared" si="10"/>
        <v>31637034</v>
      </c>
      <c r="K97" s="53">
        <f t="shared" si="11"/>
        <v>41600088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455</v>
      </c>
      <c r="H98" s="36">
        <f t="shared" si="8"/>
        <v>1</v>
      </c>
      <c r="I98" s="11">
        <f t="shared" si="9"/>
        <v>51923072</v>
      </c>
      <c r="J98" s="53">
        <f t="shared" si="10"/>
        <v>0</v>
      </c>
      <c r="K98" s="53">
        <f t="shared" si="11"/>
        <v>51923072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452</v>
      </c>
      <c r="H99" s="36">
        <f t="shared" si="8"/>
        <v>0</v>
      </c>
      <c r="I99" s="11">
        <f t="shared" si="9"/>
        <v>-598900000</v>
      </c>
      <c r="J99" s="53">
        <f t="shared" si="10"/>
        <v>0</v>
      </c>
      <c r="K99" s="53">
        <f t="shared" si="11"/>
        <v>-598900000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447</v>
      </c>
      <c r="H100" s="36">
        <f t="shared" si="8"/>
        <v>1</v>
      </c>
      <c r="I100" s="11">
        <f t="shared" si="9"/>
        <v>590950000</v>
      </c>
      <c r="J100" s="53">
        <f t="shared" si="10"/>
        <v>0</v>
      </c>
      <c r="K100" s="53">
        <f t="shared" si="11"/>
        <v>590950000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430</v>
      </c>
      <c r="H101" s="36">
        <f t="shared" si="8"/>
        <v>1</v>
      </c>
      <c r="I101" s="11">
        <f t="shared" si="9"/>
        <v>28676505</v>
      </c>
      <c r="J101" s="53">
        <f t="shared" si="10"/>
        <v>28676505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427</v>
      </c>
      <c r="H102" s="36">
        <f t="shared" si="8"/>
        <v>1</v>
      </c>
      <c r="I102" s="11">
        <f t="shared" si="9"/>
        <v>1278000000</v>
      </c>
      <c r="J102" s="53">
        <f t="shared" si="10"/>
        <v>0</v>
      </c>
      <c r="K102" s="53">
        <f t="shared" si="11"/>
        <v>1278000000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420</v>
      </c>
      <c r="H103" s="36">
        <f t="shared" si="8"/>
        <v>0</v>
      </c>
      <c r="I103" s="11">
        <f t="shared" si="9"/>
        <v>-420000000</v>
      </c>
      <c r="J103" s="53">
        <f t="shared" si="10"/>
        <v>-420000000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410</v>
      </c>
      <c r="H104" s="36">
        <f t="shared" si="8"/>
        <v>1</v>
      </c>
      <c r="I104" s="11">
        <f t="shared" si="9"/>
        <v>1227000000</v>
      </c>
      <c r="J104" s="53">
        <f t="shared" si="10"/>
        <v>1227000000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409</v>
      </c>
      <c r="H105" s="36">
        <f t="shared" si="8"/>
        <v>1</v>
      </c>
      <c r="I105" s="11">
        <f t="shared" si="9"/>
        <v>456960000</v>
      </c>
      <c r="J105" s="53">
        <f t="shared" si="10"/>
        <v>456960000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409</v>
      </c>
      <c r="H106" s="36">
        <f t="shared" si="8"/>
        <v>0</v>
      </c>
      <c r="I106" s="11">
        <f t="shared" si="9"/>
        <v>-1227000000</v>
      </c>
      <c r="J106" s="53">
        <f t="shared" si="10"/>
        <v>0</v>
      </c>
      <c r="K106" s="53">
        <f t="shared" si="11"/>
        <v>-1227000000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400</v>
      </c>
      <c r="H107" s="36">
        <f t="shared" si="8"/>
        <v>1</v>
      </c>
      <c r="I107" s="11">
        <f t="shared" si="9"/>
        <v>36107106</v>
      </c>
      <c r="J107" s="53">
        <f t="shared" si="10"/>
        <v>29970885</v>
      </c>
      <c r="K107" s="53">
        <f t="shared" si="11"/>
        <v>6136221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398</v>
      </c>
      <c r="H108" s="36">
        <f t="shared" si="8"/>
        <v>0</v>
      </c>
      <c r="I108" s="11">
        <f t="shared" si="9"/>
        <v>-676878600</v>
      </c>
      <c r="J108" s="53">
        <f t="shared" si="10"/>
        <v>0</v>
      </c>
      <c r="K108" s="53">
        <f t="shared" si="11"/>
        <v>-676878600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394</v>
      </c>
      <c r="H109" s="36">
        <f t="shared" si="8"/>
        <v>0</v>
      </c>
      <c r="I109" s="11">
        <f t="shared" si="9"/>
        <v>-394197000</v>
      </c>
      <c r="J109" s="53">
        <f t="shared" si="10"/>
        <v>0</v>
      </c>
      <c r="K109" s="53">
        <f t="shared" si="11"/>
        <v>-394197000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391</v>
      </c>
      <c r="H110" s="36">
        <f t="shared" si="8"/>
        <v>1</v>
      </c>
      <c r="I110" s="11">
        <f t="shared" si="9"/>
        <v>7800000000</v>
      </c>
      <c r="J110" s="53">
        <f t="shared" si="10"/>
        <v>0</v>
      </c>
      <c r="K110" s="53">
        <f t="shared" si="11"/>
        <v>7800000000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371</v>
      </c>
      <c r="H111" s="36">
        <f t="shared" si="8"/>
        <v>1</v>
      </c>
      <c r="I111" s="11">
        <f t="shared" si="9"/>
        <v>64630860</v>
      </c>
      <c r="J111" s="53">
        <f t="shared" si="10"/>
        <v>32324310</v>
      </c>
      <c r="K111" s="53">
        <f t="shared" si="11"/>
        <v>32306550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355</v>
      </c>
      <c r="H112" s="36">
        <f t="shared" si="8"/>
        <v>0</v>
      </c>
      <c r="I112" s="11">
        <f t="shared" si="9"/>
        <v>-10082000000</v>
      </c>
      <c r="J112" s="53">
        <f t="shared" si="10"/>
        <v>0</v>
      </c>
      <c r="K112" s="53">
        <f t="shared" si="11"/>
        <v>-10082000000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340</v>
      </c>
      <c r="H113" s="36">
        <f t="shared" si="8"/>
        <v>1</v>
      </c>
      <c r="I113" s="11">
        <f t="shared" si="9"/>
        <v>55270560</v>
      </c>
      <c r="J113" s="53">
        <f t="shared" si="10"/>
        <v>41531229</v>
      </c>
      <c r="K113" s="53">
        <f t="shared" si="11"/>
        <v>13739331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340</v>
      </c>
      <c r="H114" s="36">
        <f t="shared" si="8"/>
        <v>0</v>
      </c>
      <c r="I114" s="11">
        <f t="shared" si="9"/>
        <v>-1938000</v>
      </c>
      <c r="J114" s="53">
        <f t="shared" si="10"/>
        <v>-850000</v>
      </c>
      <c r="K114" s="53">
        <f t="shared" si="11"/>
        <v>-1088000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327</v>
      </c>
      <c r="H115" s="36">
        <f t="shared" si="8"/>
        <v>0</v>
      </c>
      <c r="I115" s="11">
        <f t="shared" si="9"/>
        <v>0</v>
      </c>
      <c r="J115" s="53">
        <f t="shared" si="10"/>
        <v>163500000</v>
      </c>
      <c r="K115" s="53">
        <f t="shared" si="11"/>
        <v>-163500000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319</v>
      </c>
      <c r="H116" s="36">
        <f t="shared" si="8"/>
        <v>0</v>
      </c>
      <c r="I116" s="11">
        <f t="shared" si="9"/>
        <v>-51040000</v>
      </c>
      <c r="J116" s="53">
        <f t="shared" si="10"/>
        <v>0</v>
      </c>
      <c r="K116" s="53">
        <f t="shared" si="11"/>
        <v>-51040000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310</v>
      </c>
      <c r="H117" s="36">
        <f t="shared" si="8"/>
        <v>1</v>
      </c>
      <c r="I117" s="11">
        <f t="shared" si="9"/>
        <v>457320</v>
      </c>
      <c r="J117" s="53">
        <f t="shared" si="10"/>
        <v>33044769</v>
      </c>
      <c r="K117" s="53">
        <f t="shared" si="11"/>
        <v>-32587449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288</v>
      </c>
      <c r="H118" s="36">
        <f t="shared" si="8"/>
        <v>1</v>
      </c>
      <c r="I118" s="11">
        <f t="shared" si="9"/>
        <v>11307656500</v>
      </c>
      <c r="J118" s="53">
        <f t="shared" si="10"/>
        <v>0</v>
      </c>
      <c r="K118" s="53">
        <f t="shared" si="11"/>
        <v>11307656500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279</v>
      </c>
      <c r="H119" s="36">
        <f t="shared" si="8"/>
        <v>1</v>
      </c>
      <c r="I119" s="11">
        <f t="shared" si="9"/>
        <v>26554838</v>
      </c>
      <c r="J119" s="53">
        <f t="shared" si="10"/>
        <v>30595012</v>
      </c>
      <c r="K119" s="53">
        <f t="shared" si="11"/>
        <v>-4040174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275</v>
      </c>
      <c r="H120" s="11">
        <f t="shared" si="8"/>
        <v>1</v>
      </c>
      <c r="I120" s="11">
        <f t="shared" ref="I120:I155" si="13">B120*(G120-H120)</f>
        <v>548000000</v>
      </c>
      <c r="J120" s="11">
        <f t="shared" si="10"/>
        <v>0</v>
      </c>
      <c r="K120" s="11">
        <f t="shared" si="11"/>
        <v>548000000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249</v>
      </c>
      <c r="H121" s="11">
        <f t="shared" si="8"/>
        <v>1</v>
      </c>
      <c r="I121" s="11">
        <f t="shared" si="13"/>
        <v>644800000</v>
      </c>
      <c r="J121" s="11">
        <f t="shared" si="10"/>
        <v>0</v>
      </c>
      <c r="K121" s="11">
        <f t="shared" si="11"/>
        <v>644800000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248</v>
      </c>
      <c r="H122" s="11">
        <f t="shared" si="8"/>
        <v>1</v>
      </c>
      <c r="I122" s="11">
        <f t="shared" si="13"/>
        <v>94984097</v>
      </c>
      <c r="J122" s="11">
        <f t="shared" si="10"/>
        <v>27394276</v>
      </c>
      <c r="K122" s="11">
        <f t="shared" si="11"/>
        <v>67589821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247</v>
      </c>
      <c r="H123" s="11">
        <f t="shared" si="8"/>
        <v>0</v>
      </c>
      <c r="I123" s="11">
        <f t="shared" si="13"/>
        <v>0</v>
      </c>
      <c r="J123" s="11">
        <f t="shared" si="10"/>
        <v>197600000</v>
      </c>
      <c r="K123" s="11">
        <f t="shared" si="11"/>
        <v>-197600000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233</v>
      </c>
      <c r="H124" s="11">
        <f t="shared" si="8"/>
        <v>0</v>
      </c>
      <c r="I124" s="11">
        <f t="shared" si="13"/>
        <v>-699000000</v>
      </c>
      <c r="J124" s="11">
        <f t="shared" si="10"/>
        <v>0</v>
      </c>
      <c r="K124" s="11">
        <f t="shared" si="11"/>
        <v>-699000000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218</v>
      </c>
      <c r="H125" s="11">
        <f t="shared" si="8"/>
        <v>1</v>
      </c>
      <c r="I125" s="11">
        <f t="shared" si="13"/>
        <v>86954070</v>
      </c>
      <c r="J125" s="11">
        <f t="shared" si="10"/>
        <v>25795875</v>
      </c>
      <c r="K125" s="11">
        <f t="shared" si="11"/>
        <v>61158195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218</v>
      </c>
      <c r="H126" s="11">
        <f t="shared" si="8"/>
        <v>1</v>
      </c>
      <c r="I126" s="11">
        <f t="shared" si="13"/>
        <v>9114000000</v>
      </c>
      <c r="J126" s="11">
        <f t="shared" si="10"/>
        <v>0</v>
      </c>
      <c r="K126" s="11">
        <f t="shared" si="11"/>
        <v>9114000000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193</v>
      </c>
      <c r="H127" s="11">
        <f t="shared" si="8"/>
        <v>0</v>
      </c>
      <c r="I127" s="11">
        <f t="shared" si="13"/>
        <v>-965000</v>
      </c>
      <c r="J127" s="11">
        <f t="shared" si="10"/>
        <v>0</v>
      </c>
      <c r="K127" s="11">
        <f t="shared" si="11"/>
        <v>-965000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187</v>
      </c>
      <c r="H128" s="11">
        <f t="shared" si="8"/>
        <v>1</v>
      </c>
      <c r="I128" s="11">
        <f t="shared" si="13"/>
        <v>143475564</v>
      </c>
      <c r="J128" s="11">
        <f t="shared" si="10"/>
        <v>22449642</v>
      </c>
      <c r="K128" s="11">
        <f t="shared" si="11"/>
        <v>121025922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184</v>
      </c>
      <c r="H129" s="11">
        <f t="shared" si="8"/>
        <v>1</v>
      </c>
      <c r="I129" s="11">
        <f t="shared" si="13"/>
        <v>457500000</v>
      </c>
      <c r="J129" s="11">
        <f t="shared" si="10"/>
        <v>0</v>
      </c>
      <c r="K129" s="11">
        <f t="shared" si="11"/>
        <v>457500000</v>
      </c>
    </row>
    <row r="130" spans="1:13" x14ac:dyDescent="0.25">
      <c r="A130" s="11" t="s">
        <v>722</v>
      </c>
      <c r="B130" s="18">
        <v>-1000000</v>
      </c>
      <c r="C130" s="18">
        <v>-1000000</v>
      </c>
      <c r="D130" s="18">
        <f t="shared" si="12"/>
        <v>0</v>
      </c>
      <c r="E130" s="11" t="s">
        <v>743</v>
      </c>
      <c r="F130" s="11">
        <v>5</v>
      </c>
      <c r="G130" s="36">
        <f t="shared" si="7"/>
        <v>170</v>
      </c>
      <c r="H130" s="11">
        <f t="shared" si="8"/>
        <v>0</v>
      </c>
      <c r="I130" s="11">
        <f t="shared" si="13"/>
        <v>-170000000</v>
      </c>
      <c r="J130" s="11">
        <f t="shared" si="10"/>
        <v>-170000000</v>
      </c>
      <c r="K130" s="11">
        <f t="shared" si="11"/>
        <v>0</v>
      </c>
    </row>
    <row r="131" spans="1:13" x14ac:dyDescent="0.25">
      <c r="A131" s="11" t="s">
        <v>726</v>
      </c>
      <c r="B131" s="18">
        <v>-50000000</v>
      </c>
      <c r="C131" s="18">
        <v>0</v>
      </c>
      <c r="D131" s="18">
        <f t="shared" si="12"/>
        <v>-50000000</v>
      </c>
      <c r="E131" s="11" t="s">
        <v>727</v>
      </c>
      <c r="F131" s="11">
        <v>8</v>
      </c>
      <c r="G131" s="36">
        <f t="shared" ref="G131:G154" si="14">G132+F131</f>
        <v>165</v>
      </c>
      <c r="H131" s="11">
        <f t="shared" si="8"/>
        <v>0</v>
      </c>
      <c r="I131" s="11">
        <f t="shared" si="13"/>
        <v>-8250000000</v>
      </c>
      <c r="J131" s="11">
        <f t="shared" si="10"/>
        <v>0</v>
      </c>
      <c r="K131" s="11">
        <f t="shared" si="11"/>
        <v>-8250000000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157</v>
      </c>
      <c r="H132" s="11">
        <f t="shared" ref="H132:H155" si="15">IF(B132&gt;0,1,0)</f>
        <v>1</v>
      </c>
      <c r="I132" s="11">
        <f t="shared" si="13"/>
        <v>95828772</v>
      </c>
      <c r="J132" s="11">
        <f t="shared" ref="J132:J155" si="16">C132*(G132-H132)</f>
        <v>16531476</v>
      </c>
      <c r="K132" s="11">
        <f t="shared" ref="K132:K155" si="17">D132*(G132-H132)</f>
        <v>79297296</v>
      </c>
    </row>
    <row r="133" spans="1:13" x14ac:dyDescent="0.25">
      <c r="A133" s="11" t="s">
        <v>751</v>
      </c>
      <c r="B133" s="18">
        <v>-1210700</v>
      </c>
      <c r="C133" s="18">
        <v>0</v>
      </c>
      <c r="D133" s="18">
        <f t="shared" si="12"/>
        <v>-1210700</v>
      </c>
      <c r="E133" s="11" t="s">
        <v>752</v>
      </c>
      <c r="F133" s="11">
        <v>9</v>
      </c>
      <c r="G133" s="36">
        <f t="shared" si="14"/>
        <v>153</v>
      </c>
      <c r="H133" s="11">
        <f t="shared" si="15"/>
        <v>0</v>
      </c>
      <c r="I133" s="11">
        <f t="shared" si="13"/>
        <v>-185237100</v>
      </c>
      <c r="J133" s="11">
        <f t="shared" si="16"/>
        <v>0</v>
      </c>
      <c r="K133" s="11">
        <f t="shared" si="17"/>
        <v>-185237100</v>
      </c>
    </row>
    <row r="134" spans="1:13" x14ac:dyDescent="0.25">
      <c r="A134" s="11" t="s">
        <v>768</v>
      </c>
      <c r="B134" s="18">
        <v>-65000</v>
      </c>
      <c r="C134" s="18">
        <v>0</v>
      </c>
      <c r="D134" s="18">
        <f t="shared" si="12"/>
        <v>-65000</v>
      </c>
      <c r="E134" s="11" t="s">
        <v>771</v>
      </c>
      <c r="F134" s="11">
        <v>0</v>
      </c>
      <c r="G134" s="36">
        <f t="shared" si="14"/>
        <v>144</v>
      </c>
      <c r="H134" s="11">
        <f t="shared" si="15"/>
        <v>0</v>
      </c>
      <c r="I134" s="11">
        <f t="shared" si="13"/>
        <v>-9360000</v>
      </c>
      <c r="J134" s="11">
        <f t="shared" si="16"/>
        <v>0</v>
      </c>
      <c r="K134" s="11">
        <f t="shared" si="17"/>
        <v>-9360000</v>
      </c>
    </row>
    <row r="135" spans="1:13" x14ac:dyDescent="0.25">
      <c r="A135" s="11" t="s">
        <v>768</v>
      </c>
      <c r="B135" s="18">
        <v>-32300</v>
      </c>
      <c r="C135" s="18">
        <v>0</v>
      </c>
      <c r="D135" s="18">
        <f t="shared" si="12"/>
        <v>-32300</v>
      </c>
      <c r="E135" s="11" t="s">
        <v>772</v>
      </c>
      <c r="F135" s="11">
        <v>8</v>
      </c>
      <c r="G135" s="36">
        <f t="shared" si="14"/>
        <v>144</v>
      </c>
      <c r="H135" s="11">
        <f t="shared" si="15"/>
        <v>0</v>
      </c>
      <c r="I135" s="11">
        <f t="shared" si="13"/>
        <v>-4651200</v>
      </c>
      <c r="J135" s="11">
        <f t="shared" si="16"/>
        <v>0</v>
      </c>
      <c r="K135" s="11">
        <f t="shared" si="17"/>
        <v>-4651200</v>
      </c>
    </row>
    <row r="136" spans="1:13" x14ac:dyDescent="0.25">
      <c r="A136" s="11" t="s">
        <v>779</v>
      </c>
      <c r="B136" s="18">
        <v>-1000000</v>
      </c>
      <c r="C136" s="18">
        <v>-1000000</v>
      </c>
      <c r="D136" s="18">
        <f t="shared" si="12"/>
        <v>0</v>
      </c>
      <c r="E136" s="11" t="s">
        <v>780</v>
      </c>
      <c r="F136" s="11">
        <v>9</v>
      </c>
      <c r="G136" s="36">
        <f t="shared" si="14"/>
        <v>136</v>
      </c>
      <c r="H136" s="11">
        <f t="shared" si="15"/>
        <v>0</v>
      </c>
      <c r="I136" s="11">
        <f t="shared" si="13"/>
        <v>-136000000</v>
      </c>
      <c r="J136" s="11">
        <f t="shared" si="16"/>
        <v>-136000000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127</v>
      </c>
      <c r="H137" s="11">
        <f t="shared" si="15"/>
        <v>1</v>
      </c>
      <c r="I137" s="11">
        <f t="shared" si="13"/>
        <v>36649998</v>
      </c>
      <c r="J137" s="11">
        <f t="shared" si="16"/>
        <v>12267234</v>
      </c>
      <c r="K137" s="11">
        <f t="shared" si="17"/>
        <v>24382764</v>
      </c>
    </row>
    <row r="138" spans="1:13" x14ac:dyDescent="0.25">
      <c r="A138" s="11" t="s">
        <v>807</v>
      </c>
      <c r="B138" s="18">
        <v>-1000500</v>
      </c>
      <c r="C138" s="18">
        <v>-1000500</v>
      </c>
      <c r="D138" s="18">
        <f t="shared" si="12"/>
        <v>0</v>
      </c>
      <c r="E138" s="11" t="s">
        <v>808</v>
      </c>
      <c r="F138" s="11">
        <v>12</v>
      </c>
      <c r="G138" s="36">
        <f t="shared" si="14"/>
        <v>110</v>
      </c>
      <c r="H138" s="11">
        <f t="shared" si="15"/>
        <v>0</v>
      </c>
      <c r="I138" s="11">
        <f t="shared" si="13"/>
        <v>-110055000</v>
      </c>
      <c r="J138" s="11">
        <f t="shared" si="16"/>
        <v>-110055000</v>
      </c>
      <c r="K138" s="11">
        <f t="shared" si="17"/>
        <v>0</v>
      </c>
    </row>
    <row r="139" spans="1:13" x14ac:dyDescent="0.25">
      <c r="A139" s="11" t="s">
        <v>828</v>
      </c>
      <c r="B139" s="18">
        <v>282240</v>
      </c>
      <c r="C139" s="18">
        <v>88807</v>
      </c>
      <c r="D139" s="18">
        <f t="shared" si="12"/>
        <v>193433</v>
      </c>
      <c r="E139" s="11" t="s">
        <v>831</v>
      </c>
      <c r="F139" s="11">
        <v>3</v>
      </c>
      <c r="G139" s="36">
        <f t="shared" si="14"/>
        <v>98</v>
      </c>
      <c r="H139" s="11">
        <f t="shared" si="15"/>
        <v>1</v>
      </c>
      <c r="I139" s="11">
        <f t="shared" si="13"/>
        <v>27377280</v>
      </c>
      <c r="J139" s="11">
        <f t="shared" si="16"/>
        <v>8614279</v>
      </c>
      <c r="K139" s="11">
        <f t="shared" si="17"/>
        <v>18763001</v>
      </c>
    </row>
    <row r="140" spans="1:13" x14ac:dyDescent="0.25">
      <c r="A140" s="11" t="s">
        <v>833</v>
      </c>
      <c r="B140" s="18">
        <v>1500000</v>
      </c>
      <c r="C140" s="18">
        <v>0</v>
      </c>
      <c r="D140" s="18">
        <f t="shared" si="12"/>
        <v>1500000</v>
      </c>
      <c r="E140" s="11" t="s">
        <v>834</v>
      </c>
      <c r="F140" s="11">
        <v>13</v>
      </c>
      <c r="G140" s="36">
        <f t="shared" si="14"/>
        <v>95</v>
      </c>
      <c r="H140" s="11">
        <f t="shared" si="15"/>
        <v>1</v>
      </c>
      <c r="I140" s="11">
        <f t="shared" si="13"/>
        <v>141000000</v>
      </c>
      <c r="J140" s="11">
        <f t="shared" si="16"/>
        <v>0</v>
      </c>
      <c r="K140" s="11">
        <f t="shared" si="17"/>
        <v>141000000</v>
      </c>
    </row>
    <row r="141" spans="1:13" x14ac:dyDescent="0.25">
      <c r="A141" s="11" t="s">
        <v>856</v>
      </c>
      <c r="B141" s="18">
        <v>0</v>
      </c>
      <c r="C141" s="18">
        <v>-1000000</v>
      </c>
      <c r="D141" s="18">
        <f t="shared" si="12"/>
        <v>1000000</v>
      </c>
      <c r="E141" s="11" t="s">
        <v>855</v>
      </c>
      <c r="F141" s="11">
        <v>14</v>
      </c>
      <c r="G141" s="36">
        <f t="shared" si="14"/>
        <v>82</v>
      </c>
      <c r="H141" s="11">
        <f t="shared" si="15"/>
        <v>0</v>
      </c>
      <c r="I141" s="11">
        <f t="shared" si="13"/>
        <v>0</v>
      </c>
      <c r="J141" s="11">
        <f t="shared" si="16"/>
        <v>-82000000</v>
      </c>
      <c r="K141" s="11">
        <f t="shared" si="17"/>
        <v>82000000</v>
      </c>
    </row>
    <row r="142" spans="1:13" x14ac:dyDescent="0.25">
      <c r="A142" s="11" t="s">
        <v>869</v>
      </c>
      <c r="B142" s="18">
        <v>290893</v>
      </c>
      <c r="C142" s="18">
        <v>81022</v>
      </c>
      <c r="D142" s="18">
        <f t="shared" si="12"/>
        <v>209871</v>
      </c>
      <c r="E142" s="11" t="s">
        <v>875</v>
      </c>
      <c r="F142" s="11">
        <v>20</v>
      </c>
      <c r="G142" s="36">
        <f t="shared" si="14"/>
        <v>68</v>
      </c>
      <c r="H142" s="11">
        <f t="shared" si="15"/>
        <v>1</v>
      </c>
      <c r="I142" s="11">
        <f t="shared" si="13"/>
        <v>19489831</v>
      </c>
      <c r="J142" s="11">
        <f t="shared" si="16"/>
        <v>5428474</v>
      </c>
      <c r="K142" s="11">
        <f t="shared" si="17"/>
        <v>14061357</v>
      </c>
    </row>
    <row r="143" spans="1:13" x14ac:dyDescent="0.25">
      <c r="A143" s="11" t="s">
        <v>898</v>
      </c>
      <c r="B143" s="18">
        <v>0</v>
      </c>
      <c r="C143" s="18">
        <v>-1000000</v>
      </c>
      <c r="D143" s="18">
        <f t="shared" si="12"/>
        <v>1000000</v>
      </c>
      <c r="E143" s="11" t="s">
        <v>902</v>
      </c>
      <c r="F143" s="11">
        <v>10</v>
      </c>
      <c r="G143" s="36">
        <f t="shared" si="14"/>
        <v>48</v>
      </c>
      <c r="H143" s="11">
        <f t="shared" si="15"/>
        <v>0</v>
      </c>
      <c r="I143" s="11">
        <f t="shared" si="13"/>
        <v>0</v>
      </c>
      <c r="J143" s="11">
        <f t="shared" si="16"/>
        <v>-48000000</v>
      </c>
      <c r="K143" s="11">
        <f t="shared" si="17"/>
        <v>48000000</v>
      </c>
      <c r="M143" t="s">
        <v>25</v>
      </c>
    </row>
    <row r="144" spans="1:13" x14ac:dyDescent="0.25">
      <c r="A144" s="11" t="s">
        <v>907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</v>
      </c>
      <c r="H144" s="11">
        <f t="shared" si="15"/>
        <v>1</v>
      </c>
      <c r="I144" s="11">
        <f t="shared" si="13"/>
        <v>10909524</v>
      </c>
      <c r="J144" s="11">
        <f t="shared" si="16"/>
        <v>2762309</v>
      </c>
      <c r="K144" s="11">
        <f t="shared" si="17"/>
        <v>8147215</v>
      </c>
    </row>
    <row r="145" spans="1:11" x14ac:dyDescent="0.25">
      <c r="A145" s="11" t="s">
        <v>932</v>
      </c>
      <c r="B145" s="18">
        <v>-10000</v>
      </c>
      <c r="C145" s="18">
        <v>-5000</v>
      </c>
      <c r="D145" s="18">
        <f t="shared" si="12"/>
        <v>-5000</v>
      </c>
      <c r="E145" s="74" t="s">
        <v>938</v>
      </c>
      <c r="F145" s="11">
        <v>5</v>
      </c>
      <c r="G145" s="36">
        <f t="shared" si="14"/>
        <v>23</v>
      </c>
      <c r="H145" s="11">
        <f t="shared" si="15"/>
        <v>0</v>
      </c>
      <c r="I145" s="11">
        <f t="shared" si="13"/>
        <v>-230000</v>
      </c>
      <c r="J145" s="11">
        <f t="shared" si="16"/>
        <v>-115000</v>
      </c>
      <c r="K145" s="11">
        <f t="shared" si="17"/>
        <v>-115000</v>
      </c>
    </row>
    <row r="146" spans="1:11" x14ac:dyDescent="0.25">
      <c r="A146" s="11" t="s">
        <v>918</v>
      </c>
      <c r="B146" s="18">
        <v>-1000500</v>
      </c>
      <c r="C146" s="18">
        <v>-1000500</v>
      </c>
      <c r="D146" s="18">
        <f t="shared" si="12"/>
        <v>0</v>
      </c>
      <c r="E146" s="11" t="s">
        <v>919</v>
      </c>
      <c r="F146" s="11">
        <v>6</v>
      </c>
      <c r="G146" s="36">
        <f t="shared" si="14"/>
        <v>18</v>
      </c>
      <c r="H146" s="11">
        <f t="shared" si="15"/>
        <v>0</v>
      </c>
      <c r="I146" s="11">
        <f t="shared" si="13"/>
        <v>-18009000</v>
      </c>
      <c r="J146" s="11">
        <f t="shared" si="16"/>
        <v>-18009000</v>
      </c>
      <c r="K146" s="11">
        <f t="shared" si="17"/>
        <v>0</v>
      </c>
    </row>
    <row r="147" spans="1:11" x14ac:dyDescent="0.25">
      <c r="A147" s="11" t="s">
        <v>959</v>
      </c>
      <c r="B147" s="18">
        <v>-27000000</v>
      </c>
      <c r="C147" s="18">
        <v>0</v>
      </c>
      <c r="D147" s="18">
        <f t="shared" si="12"/>
        <v>-27000000</v>
      </c>
      <c r="E147" s="11" t="s">
        <v>1043</v>
      </c>
      <c r="F147" s="11">
        <v>3</v>
      </c>
      <c r="G147" s="36">
        <f t="shared" si="14"/>
        <v>12</v>
      </c>
      <c r="H147" s="11">
        <f t="shared" si="15"/>
        <v>0</v>
      </c>
      <c r="I147" s="11">
        <f t="shared" si="13"/>
        <v>-324000000</v>
      </c>
      <c r="J147" s="11">
        <f t="shared" si="16"/>
        <v>0</v>
      </c>
      <c r="K147" s="11">
        <f t="shared" si="17"/>
        <v>-324000000</v>
      </c>
    </row>
    <row r="148" spans="1:11" x14ac:dyDescent="0.25">
      <c r="A148" s="11" t="s">
        <v>1071</v>
      </c>
      <c r="B148" s="18">
        <v>252436</v>
      </c>
      <c r="C148" s="18">
        <v>65510</v>
      </c>
      <c r="D148" s="18">
        <f t="shared" si="12"/>
        <v>186926</v>
      </c>
      <c r="E148" s="11" t="s">
        <v>1073</v>
      </c>
      <c r="F148" s="11">
        <v>8</v>
      </c>
      <c r="G148" s="36">
        <f t="shared" si="14"/>
        <v>9</v>
      </c>
      <c r="H148" s="11">
        <f t="shared" si="15"/>
        <v>1</v>
      </c>
      <c r="I148" s="11">
        <f t="shared" si="13"/>
        <v>2019488</v>
      </c>
      <c r="J148" s="11">
        <f t="shared" si="16"/>
        <v>524080</v>
      </c>
      <c r="K148" s="11">
        <f t="shared" si="17"/>
        <v>1495408</v>
      </c>
    </row>
    <row r="149" spans="1:11" x14ac:dyDescent="0.25">
      <c r="A149" s="11" t="s">
        <v>1112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1113</v>
      </c>
      <c r="F149" s="11">
        <v>1</v>
      </c>
      <c r="G149" s="36">
        <f t="shared" si="14"/>
        <v>1</v>
      </c>
      <c r="H149" s="11">
        <f t="shared" si="15"/>
        <v>1</v>
      </c>
      <c r="I149" s="11">
        <f t="shared" si="13"/>
        <v>0</v>
      </c>
      <c r="J149" s="11">
        <f t="shared" si="16"/>
        <v>0</v>
      </c>
      <c r="K149" s="11">
        <f t="shared" si="17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4"/>
        <v>0</v>
      </c>
      <c r="H150" s="11">
        <f t="shared" si="15"/>
        <v>0</v>
      </c>
      <c r="I150" s="11">
        <f t="shared" si="13"/>
        <v>0</v>
      </c>
      <c r="J150" s="11">
        <f t="shared" si="16"/>
        <v>0</v>
      </c>
      <c r="K150" s="11">
        <f t="shared" si="17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36: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60810063</v>
      </c>
      <c r="C156" s="29">
        <f>SUM(C2:C154)</f>
        <v>7551324</v>
      </c>
      <c r="D156" s="29">
        <f>SUM(D2:D154)</f>
        <v>53258739</v>
      </c>
      <c r="E156" s="11"/>
      <c r="F156" s="11"/>
      <c r="G156" s="11"/>
      <c r="H156" s="11"/>
      <c r="I156" s="29">
        <f>SUM(I2:I155)</f>
        <v>18185731970</v>
      </c>
      <c r="J156" s="29">
        <f>SUM(J2:J155)</f>
        <v>6793454239</v>
      </c>
      <c r="K156" s="29">
        <f>SUM(K2:K155)</f>
        <v>11392277731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25328317.506963789</v>
      </c>
      <c r="J159" s="29">
        <f>J156/G2</f>
        <v>9461635.4303621165</v>
      </c>
      <c r="K159" s="29">
        <f>K156/G2</f>
        <v>15866682.076601671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874</v>
      </c>
      <c r="G163" t="s">
        <v>25</v>
      </c>
      <c r="J163">
        <f>J156/I156*1448696</f>
        <v>541174.25674465962</v>
      </c>
      <c r="K163">
        <f>K156/I156*1448696</f>
        <v>907521.74325534049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722</v>
      </c>
      <c r="B5" s="18">
        <v>-1000000</v>
      </c>
      <c r="C5" s="18">
        <v>-1000000</v>
      </c>
      <c r="D5" s="3">
        <f t="shared" si="0"/>
        <v>0</v>
      </c>
      <c r="E5" s="20" t="s">
        <v>743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726</v>
      </c>
      <c r="B6" s="18">
        <v>-50000000</v>
      </c>
      <c r="C6" s="18">
        <v>0</v>
      </c>
      <c r="D6" s="3">
        <f t="shared" si="0"/>
        <v>-50000000</v>
      </c>
      <c r="E6" s="19" t="s">
        <v>727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737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751</v>
      </c>
      <c r="B4" s="18">
        <v>-1210700</v>
      </c>
      <c r="C4" s="18">
        <v>0</v>
      </c>
      <c r="D4" s="3">
        <f t="shared" si="0"/>
        <v>-1210700</v>
      </c>
      <c r="E4" s="11" t="s">
        <v>752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-97300</v>
      </c>
      <c r="C5" s="18">
        <v>0</v>
      </c>
      <c r="D5" s="3">
        <f t="shared" si="0"/>
        <v>-97300</v>
      </c>
      <c r="E5" s="20" t="s">
        <v>773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-1000000</v>
      </c>
      <c r="C6" s="18">
        <v>-1000000</v>
      </c>
      <c r="D6" s="3">
        <f t="shared" si="0"/>
        <v>0</v>
      </c>
      <c r="E6" s="19" t="s">
        <v>780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753</v>
      </c>
      <c r="G31" s="9" t="s">
        <v>783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763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807</v>
      </c>
      <c r="B4" s="18">
        <v>-1000500</v>
      </c>
      <c r="C4" s="18">
        <v>-1000500</v>
      </c>
      <c r="D4" s="3">
        <f t="shared" si="0"/>
        <v>0</v>
      </c>
      <c r="E4" s="11" t="s">
        <v>808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828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833</v>
      </c>
      <c r="B3" s="18">
        <v>1500000</v>
      </c>
      <c r="C3" s="18">
        <v>0</v>
      </c>
      <c r="D3" s="43">
        <f t="shared" ref="D3:D22" si="0">B3-C3</f>
        <v>1500000</v>
      </c>
      <c r="E3" s="20" t="s">
        <v>834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854</v>
      </c>
      <c r="B4" s="18">
        <v>0</v>
      </c>
      <c r="C4" s="18">
        <v>-1000000</v>
      </c>
      <c r="D4" s="3">
        <f t="shared" si="0"/>
        <v>1000000</v>
      </c>
      <c r="E4" s="11" t="s">
        <v>855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869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842</v>
      </c>
      <c r="G31" s="9" t="s">
        <v>909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843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850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852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853</v>
      </c>
    </row>
    <row r="36" spans="4:17" x14ac:dyDescent="0.25">
      <c r="D36" s="42">
        <v>-10000</v>
      </c>
      <c r="E36" s="41" t="s">
        <v>863</v>
      </c>
    </row>
    <row r="37" spans="4:17" x14ac:dyDescent="0.25">
      <c r="D37" s="7">
        <v>-180000</v>
      </c>
      <c r="E37" s="41" t="s">
        <v>868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0" activePane="bottomLeft" state="frozen"/>
      <selection pane="bottomLeft" activeCell="D113" sqref="D11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484</v>
      </c>
      <c r="F2" s="11">
        <f>IF(B2&gt;0,1,0)</f>
        <v>1</v>
      </c>
      <c r="G2" s="11">
        <f>B2*(E2-F2)</f>
        <v>24150000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480</v>
      </c>
      <c r="F3" s="11">
        <f t="shared" ref="F3:F38" si="1">IF(B3&gt;0,1,0)</f>
        <v>1</v>
      </c>
      <c r="G3" s="11">
        <f t="shared" ref="G3:G23" si="2">B3*(E3-F3)</f>
        <v>1437000000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479</v>
      </c>
      <c r="F4" s="11">
        <f t="shared" si="1"/>
        <v>1</v>
      </c>
      <c r="G4" s="11">
        <f t="shared" si="2"/>
        <v>1434000000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479</v>
      </c>
      <c r="F5" s="11">
        <f t="shared" si="1"/>
        <v>1</v>
      </c>
      <c r="G5" s="11">
        <f t="shared" si="2"/>
        <v>7170000000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478</v>
      </c>
      <c r="F6" s="11">
        <f t="shared" si="1"/>
        <v>1</v>
      </c>
      <c r="G6" s="11">
        <f t="shared" si="2"/>
        <v>1431000000</v>
      </c>
      <c r="K6" t="s">
        <v>288</v>
      </c>
      <c r="L6" s="34">
        <v>410023079974</v>
      </c>
      <c r="M6" s="33" t="s">
        <v>872</v>
      </c>
      <c r="N6" t="s">
        <v>1105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477</v>
      </c>
      <c r="F7" s="11">
        <f t="shared" si="1"/>
        <v>0</v>
      </c>
      <c r="G7" s="11">
        <f t="shared" si="2"/>
        <v>-1431000000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477</v>
      </c>
      <c r="F8" s="11">
        <f t="shared" si="1"/>
        <v>0</v>
      </c>
      <c r="G8" s="11">
        <f t="shared" si="2"/>
        <v>-95400000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477</v>
      </c>
      <c r="F9" s="11">
        <f t="shared" si="1"/>
        <v>1</v>
      </c>
      <c r="G9" s="11">
        <f>B9*(E9-F9)</f>
        <v>1428000000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476</v>
      </c>
      <c r="F10" s="11">
        <f t="shared" si="1"/>
        <v>1</v>
      </c>
      <c r="G10" s="11">
        <f t="shared" si="2"/>
        <v>1425000000</v>
      </c>
      <c r="K10" t="s">
        <v>1106</v>
      </c>
      <c r="L10" s="34">
        <v>410021484671</v>
      </c>
      <c r="M10" s="33" t="s">
        <v>1107</v>
      </c>
      <c r="N10" t="s">
        <v>1110</v>
      </c>
      <c r="O10" t="s">
        <v>1111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476</v>
      </c>
      <c r="F11" s="11">
        <f t="shared" si="1"/>
        <v>1</v>
      </c>
      <c r="G11" s="11">
        <f t="shared" si="2"/>
        <v>11875000000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473</v>
      </c>
      <c r="F12" s="11">
        <f t="shared" si="1"/>
        <v>1</v>
      </c>
      <c r="G12" s="11">
        <f t="shared" si="2"/>
        <v>471211760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473</v>
      </c>
      <c r="F13" s="11">
        <f t="shared" si="1"/>
        <v>1</v>
      </c>
      <c r="G13" s="11">
        <f t="shared" si="2"/>
        <v>1416000000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473</v>
      </c>
      <c r="F14" s="11">
        <f t="shared" si="1"/>
        <v>1</v>
      </c>
      <c r="G14" s="11">
        <f t="shared" si="2"/>
        <v>562197312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461</v>
      </c>
      <c r="F15" s="11">
        <f t="shared" si="1"/>
        <v>1</v>
      </c>
      <c r="G15" s="11">
        <f t="shared" si="2"/>
        <v>920000000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449</v>
      </c>
      <c r="F16" s="11">
        <f t="shared" si="1"/>
        <v>1</v>
      </c>
      <c r="G16" s="11">
        <f t="shared" si="2"/>
        <v>1344000000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448</v>
      </c>
      <c r="F17" s="11">
        <f t="shared" si="1"/>
        <v>1</v>
      </c>
      <c r="G17" s="11">
        <f t="shared" si="2"/>
        <v>1341000000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447</v>
      </c>
      <c r="F18" s="11">
        <f t="shared" si="1"/>
        <v>1</v>
      </c>
      <c r="G18" s="11">
        <f t="shared" si="2"/>
        <v>847400000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432</v>
      </c>
      <c r="F19" s="11">
        <f t="shared" si="1"/>
        <v>1</v>
      </c>
      <c r="G19" s="11">
        <f t="shared" si="2"/>
        <v>346745103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431</v>
      </c>
      <c r="F20" s="11">
        <f t="shared" si="1"/>
        <v>1</v>
      </c>
      <c r="G20" s="11">
        <f t="shared" si="2"/>
        <v>1290000000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425</v>
      </c>
      <c r="F21" s="11">
        <f t="shared" si="1"/>
        <v>1</v>
      </c>
      <c r="G21" s="11">
        <f t="shared" si="2"/>
        <v>212000000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411</v>
      </c>
      <c r="F22" s="11">
        <f t="shared" si="1"/>
        <v>0</v>
      </c>
      <c r="G22" s="11">
        <f t="shared" si="2"/>
        <v>-1233000000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403</v>
      </c>
      <c r="F23" s="11">
        <f t="shared" si="1"/>
        <v>1</v>
      </c>
      <c r="G23" s="11">
        <f t="shared" si="2"/>
        <v>1206000000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403</v>
      </c>
      <c r="F24" s="11">
        <f t="shared" si="1"/>
        <v>1</v>
      </c>
      <c r="G24" s="11">
        <f>B24*(E24-F24)</f>
        <v>253598886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401</v>
      </c>
      <c r="F25" s="11">
        <f t="shared" si="1"/>
        <v>0</v>
      </c>
      <c r="G25" s="11">
        <f t="shared" ref="G25:G30" si="3">B25*(E25-F25)</f>
        <v>-1283560900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399</v>
      </c>
      <c r="F26" s="11">
        <f t="shared" si="1"/>
        <v>0</v>
      </c>
      <c r="G26" s="11">
        <f t="shared" si="3"/>
        <v>-1197359100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397</v>
      </c>
      <c r="F27" s="11">
        <f t="shared" si="1"/>
        <v>1</v>
      </c>
      <c r="G27" s="11">
        <f t="shared" si="3"/>
        <v>396000000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397</v>
      </c>
      <c r="F28" s="11">
        <f t="shared" si="1"/>
        <v>1</v>
      </c>
      <c r="G28" s="11">
        <f t="shared" si="3"/>
        <v>2376000000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397</v>
      </c>
      <c r="F29" s="11">
        <f t="shared" si="1"/>
        <v>1</v>
      </c>
      <c r="G29" s="11">
        <f t="shared" si="3"/>
        <v>2296800000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397</v>
      </c>
      <c r="F30" s="11">
        <f t="shared" si="1"/>
        <v>0</v>
      </c>
      <c r="G30" s="11">
        <f t="shared" si="3"/>
        <v>-1985000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396</v>
      </c>
      <c r="F31" s="11">
        <f t="shared" si="1"/>
        <v>0</v>
      </c>
      <c r="G31" s="11">
        <f>B31*(E31-F31)</f>
        <v>-10296000000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394</v>
      </c>
      <c r="F32" s="11">
        <f t="shared" si="1"/>
        <v>0</v>
      </c>
      <c r="G32" s="11">
        <f>B32*(E32-F32)</f>
        <v>-10322800000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375</v>
      </c>
      <c r="F33" s="11">
        <f t="shared" si="1"/>
        <v>1</v>
      </c>
      <c r="G33" s="11">
        <f>B33*(E33-F33)</f>
        <v>122299870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357</v>
      </c>
      <c r="F34" s="11">
        <f t="shared" si="1"/>
        <v>1</v>
      </c>
      <c r="G34" s="11">
        <f t="shared" ref="G34:G126" si="4">B34*(E34-F34)</f>
        <v>10110400000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357</v>
      </c>
      <c r="F35" s="11">
        <f t="shared" si="1"/>
        <v>1</v>
      </c>
      <c r="G35" s="12">
        <f t="shared" si="4"/>
        <v>3916000000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342</v>
      </c>
      <c r="F36" s="11">
        <f t="shared" si="1"/>
        <v>1</v>
      </c>
      <c r="G36" s="11">
        <f t="shared" si="4"/>
        <v>142777041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342</v>
      </c>
      <c r="F37" s="11">
        <f t="shared" si="1"/>
        <v>0</v>
      </c>
      <c r="G37" s="11">
        <f t="shared" si="4"/>
        <v>-307800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341</v>
      </c>
      <c r="F38" s="11">
        <f t="shared" si="1"/>
        <v>1</v>
      </c>
      <c r="G38" s="12">
        <f t="shared" si="4"/>
        <v>680000000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341</v>
      </c>
      <c r="F39" s="11">
        <f>IF(B39&gt;0,1,0)</f>
        <v>1</v>
      </c>
      <c r="G39" s="11">
        <f t="shared" si="4"/>
        <v>680000000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327</v>
      </c>
      <c r="F40" s="11">
        <f>IF(B40&gt;0,1,0)</f>
        <v>0</v>
      </c>
      <c r="G40" s="11">
        <f t="shared" si="4"/>
        <v>-65400000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327</v>
      </c>
      <c r="F41" s="11">
        <f>IF(B41&gt;0,1,0)</f>
        <v>0</v>
      </c>
      <c r="G41" s="11">
        <f t="shared" si="4"/>
        <v>-202740000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327</v>
      </c>
      <c r="F42" s="11">
        <f t="shared" ref="F42:F126" si="5">IF(B42&gt;0,1,0)</f>
        <v>0</v>
      </c>
      <c r="G42" s="11">
        <f t="shared" si="4"/>
        <v>-39240000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325</v>
      </c>
      <c r="F43" s="11">
        <f t="shared" si="5"/>
        <v>1</v>
      </c>
      <c r="G43" s="11">
        <f t="shared" si="4"/>
        <v>210600000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325</v>
      </c>
      <c r="F44" s="11">
        <f t="shared" si="5"/>
        <v>0</v>
      </c>
      <c r="G44" s="11">
        <f t="shared" si="4"/>
        <v>-1625000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325</v>
      </c>
      <c r="F45" s="11">
        <f t="shared" si="5"/>
        <v>1</v>
      </c>
      <c r="G45" s="11">
        <f t="shared" si="4"/>
        <v>9396000000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321</v>
      </c>
      <c r="F46" s="11">
        <f t="shared" si="5"/>
        <v>0</v>
      </c>
      <c r="G46" s="11">
        <f t="shared" si="4"/>
        <v>-64200000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318</v>
      </c>
      <c r="F47" s="11">
        <f t="shared" si="5"/>
        <v>0</v>
      </c>
      <c r="G47" s="11">
        <f t="shared" si="4"/>
        <v>-63600000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317</v>
      </c>
      <c r="F48" s="11">
        <f t="shared" si="5"/>
        <v>0</v>
      </c>
      <c r="G48" s="11">
        <f t="shared" si="4"/>
        <v>-63400000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312</v>
      </c>
      <c r="F49" s="11">
        <f t="shared" si="5"/>
        <v>1</v>
      </c>
      <c r="G49" s="11">
        <f t="shared" si="4"/>
        <v>933000000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312</v>
      </c>
      <c r="F50" s="11">
        <f t="shared" si="5"/>
        <v>1</v>
      </c>
      <c r="G50" s="12">
        <f t="shared" si="4"/>
        <v>933000000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311</v>
      </c>
      <c r="F51" s="11">
        <f t="shared" si="5"/>
        <v>1</v>
      </c>
      <c r="G51" s="11">
        <f t="shared" si="4"/>
        <v>237397070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311</v>
      </c>
      <c r="F52" s="11">
        <f t="shared" si="5"/>
        <v>0</v>
      </c>
      <c r="G52" s="11">
        <f t="shared" si="4"/>
        <v>-62200000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304</v>
      </c>
      <c r="F53" s="11">
        <f t="shared" si="5"/>
        <v>0</v>
      </c>
      <c r="G53" s="11">
        <f t="shared" si="4"/>
        <v>-121752000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295</v>
      </c>
      <c r="F54" s="11">
        <f t="shared" si="5"/>
        <v>0</v>
      </c>
      <c r="G54" s="11">
        <f t="shared" si="4"/>
        <v>-295116820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289</v>
      </c>
      <c r="F55" s="11">
        <f t="shared" si="5"/>
        <v>0</v>
      </c>
      <c r="G55" s="11">
        <f t="shared" si="4"/>
        <v>-11560000000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280</v>
      </c>
      <c r="F56" s="11">
        <f t="shared" si="5"/>
        <v>1</v>
      </c>
      <c r="G56" s="11">
        <f t="shared" si="4"/>
        <v>241516908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253</v>
      </c>
      <c r="F57" s="11">
        <f t="shared" si="5"/>
        <v>0</v>
      </c>
      <c r="G57" s="11">
        <f t="shared" si="4"/>
        <v>-12700600000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252</v>
      </c>
      <c r="F58" s="11">
        <f t="shared" si="5"/>
        <v>0</v>
      </c>
      <c r="G58" s="11">
        <f t="shared" si="4"/>
        <v>-3074526000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249</v>
      </c>
      <c r="F59" s="11">
        <f t="shared" si="5"/>
        <v>1</v>
      </c>
      <c r="G59" s="11">
        <f t="shared" si="4"/>
        <v>132656688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248</v>
      </c>
      <c r="F60" s="11">
        <f t="shared" si="5"/>
        <v>0</v>
      </c>
      <c r="G60" s="11">
        <f t="shared" si="4"/>
        <v>-83824000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246</v>
      </c>
      <c r="F61" s="11">
        <f t="shared" si="5"/>
        <v>0</v>
      </c>
      <c r="G61" s="11">
        <f t="shared" si="4"/>
        <v>-36900000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242</v>
      </c>
      <c r="F62" s="11">
        <f t="shared" si="5"/>
        <v>0</v>
      </c>
      <c r="G62" s="11">
        <f t="shared" si="4"/>
        <v>-24200000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238</v>
      </c>
      <c r="F63" s="11">
        <f t="shared" si="5"/>
        <v>0</v>
      </c>
      <c r="G63" s="11">
        <f t="shared" si="4"/>
        <v>-47600000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238</v>
      </c>
      <c r="F64" s="11">
        <f t="shared" si="5"/>
        <v>0</v>
      </c>
      <c r="G64" s="11">
        <f t="shared" si="4"/>
        <v>-20706000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234</v>
      </c>
      <c r="F65" s="11">
        <f t="shared" si="5"/>
        <v>0</v>
      </c>
      <c r="G65" s="11">
        <f t="shared" si="4"/>
        <v>-6427980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233</v>
      </c>
      <c r="F66" s="11">
        <f t="shared" si="5"/>
        <v>0</v>
      </c>
      <c r="G66" s="11">
        <f t="shared" si="4"/>
        <v>-77822000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228</v>
      </c>
      <c r="F67" s="11">
        <f t="shared" si="5"/>
        <v>0</v>
      </c>
      <c r="G67" s="11">
        <f t="shared" si="4"/>
        <v>-4560000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227</v>
      </c>
      <c r="F68" s="11">
        <f t="shared" si="5"/>
        <v>0</v>
      </c>
      <c r="G68" s="11">
        <f t="shared" si="4"/>
        <v>-68213500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227</v>
      </c>
      <c r="F69" s="11">
        <f t="shared" si="5"/>
        <v>0</v>
      </c>
      <c r="G69" s="11">
        <f t="shared" si="4"/>
        <v>-22700000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222</v>
      </c>
      <c r="F70" s="11">
        <f t="shared" si="5"/>
        <v>0</v>
      </c>
      <c r="G70" s="11">
        <f t="shared" si="4"/>
        <v>-44400000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218</v>
      </c>
      <c r="F71" s="11">
        <f t="shared" si="5"/>
        <v>1</v>
      </c>
      <c r="G71" s="11">
        <f t="shared" si="4"/>
        <v>3339413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218</v>
      </c>
      <c r="F72" s="11">
        <f t="shared" si="5"/>
        <v>1</v>
      </c>
      <c r="G72" s="11">
        <f t="shared" si="4"/>
        <v>868000000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218</v>
      </c>
      <c r="F73" s="11">
        <f t="shared" si="5"/>
        <v>1</v>
      </c>
      <c r="G73" s="11">
        <f t="shared" si="4"/>
        <v>564200000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218</v>
      </c>
      <c r="F74" s="11">
        <f t="shared" si="5"/>
        <v>1</v>
      </c>
      <c r="G74" s="11">
        <f t="shared" si="4"/>
        <v>651000000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215</v>
      </c>
      <c r="F75" s="11">
        <f t="shared" si="5"/>
        <v>0</v>
      </c>
      <c r="G75" s="11">
        <f t="shared" si="4"/>
        <v>-43000000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212</v>
      </c>
      <c r="F76" s="11">
        <f t="shared" si="5"/>
        <v>0</v>
      </c>
      <c r="G76" s="11">
        <f t="shared" si="4"/>
        <v>-424148400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212</v>
      </c>
      <c r="F77" s="11">
        <f t="shared" si="5"/>
        <v>0</v>
      </c>
      <c r="G77" s="11">
        <f t="shared" si="4"/>
        <v>-42400000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208</v>
      </c>
      <c r="F78" s="11">
        <f t="shared" si="5"/>
        <v>1</v>
      </c>
      <c r="G78" s="11">
        <f t="shared" si="4"/>
        <v>414000000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200</v>
      </c>
      <c r="F79" s="11">
        <f t="shared" si="5"/>
        <v>0</v>
      </c>
      <c r="G79" s="11">
        <f t="shared" si="4"/>
        <v>-200100000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200</v>
      </c>
      <c r="F80" s="11">
        <f t="shared" si="5"/>
        <v>0</v>
      </c>
      <c r="G80" s="11">
        <f t="shared" si="4"/>
        <v>-28390000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197</v>
      </c>
      <c r="F81" s="11">
        <f t="shared" si="5"/>
        <v>0</v>
      </c>
      <c r="G81" s="11">
        <f t="shared" si="4"/>
        <v>-177398500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187</v>
      </c>
      <c r="F82" s="11">
        <f t="shared" si="5"/>
        <v>1</v>
      </c>
      <c r="G82" s="11">
        <f t="shared" si="4"/>
        <v>15112686</v>
      </c>
    </row>
    <row r="83" spans="1:7" x14ac:dyDescent="0.25">
      <c r="A83" s="11" t="s">
        <v>726</v>
      </c>
      <c r="B83" s="38">
        <v>50000000</v>
      </c>
      <c r="C83" s="11" t="s">
        <v>729</v>
      </c>
      <c r="D83" s="11">
        <v>1</v>
      </c>
      <c r="E83" s="11">
        <f t="shared" si="6"/>
        <v>165</v>
      </c>
      <c r="F83" s="11">
        <f t="shared" si="5"/>
        <v>1</v>
      </c>
      <c r="G83" s="11">
        <f t="shared" si="4"/>
        <v>8200000000</v>
      </c>
    </row>
    <row r="84" spans="1:7" x14ac:dyDescent="0.25">
      <c r="A84" s="11" t="s">
        <v>724</v>
      </c>
      <c r="B84" s="38">
        <v>30000000</v>
      </c>
      <c r="C84" s="11" t="s">
        <v>730</v>
      </c>
      <c r="D84" s="11">
        <v>0</v>
      </c>
      <c r="E84" s="11">
        <f t="shared" si="6"/>
        <v>164</v>
      </c>
      <c r="F84" s="11">
        <f t="shared" si="5"/>
        <v>1</v>
      </c>
      <c r="G84" s="11">
        <f t="shared" si="4"/>
        <v>4890000000</v>
      </c>
    </row>
    <row r="85" spans="1:7" x14ac:dyDescent="0.25">
      <c r="A85" s="11" t="s">
        <v>724</v>
      </c>
      <c r="B85" s="38">
        <v>-72500000</v>
      </c>
      <c r="C85" s="11" t="s">
        <v>731</v>
      </c>
      <c r="D85" s="11">
        <v>1</v>
      </c>
      <c r="E85" s="11">
        <f t="shared" si="6"/>
        <v>164</v>
      </c>
      <c r="F85" s="11">
        <f t="shared" si="5"/>
        <v>0</v>
      </c>
      <c r="G85" s="11">
        <f t="shared" si="4"/>
        <v>-11890000000</v>
      </c>
    </row>
    <row r="86" spans="1:7" x14ac:dyDescent="0.25">
      <c r="A86" s="11" t="s">
        <v>732</v>
      </c>
      <c r="B86" s="38">
        <v>-281000</v>
      </c>
      <c r="C86" s="11" t="s">
        <v>744</v>
      </c>
      <c r="D86" s="11">
        <v>5</v>
      </c>
      <c r="E86" s="11">
        <f t="shared" si="6"/>
        <v>163</v>
      </c>
      <c r="F86" s="11">
        <f t="shared" si="5"/>
        <v>0</v>
      </c>
      <c r="G86" s="11">
        <f t="shared" si="4"/>
        <v>-45803000</v>
      </c>
    </row>
    <row r="87" spans="1:7" x14ac:dyDescent="0.25">
      <c r="A87" s="11" t="s">
        <v>737</v>
      </c>
      <c r="B87" s="38">
        <v>2500000</v>
      </c>
      <c r="C87" s="11" t="s">
        <v>741</v>
      </c>
      <c r="D87" s="11">
        <v>1</v>
      </c>
      <c r="E87" s="11">
        <f t="shared" si="6"/>
        <v>158</v>
      </c>
      <c r="F87" s="11">
        <f t="shared" si="5"/>
        <v>1</v>
      </c>
      <c r="G87" s="11">
        <f t="shared" si="4"/>
        <v>392500000</v>
      </c>
    </row>
    <row r="88" spans="1:7" x14ac:dyDescent="0.25">
      <c r="A88" s="11" t="s">
        <v>632</v>
      </c>
      <c r="B88" s="38">
        <v>78340</v>
      </c>
      <c r="C88" s="11" t="s">
        <v>742</v>
      </c>
      <c r="D88" s="11">
        <v>5</v>
      </c>
      <c r="E88" s="11">
        <f t="shared" si="6"/>
        <v>157</v>
      </c>
      <c r="F88" s="11">
        <f t="shared" si="5"/>
        <v>1</v>
      </c>
      <c r="G88" s="11">
        <f t="shared" si="4"/>
        <v>12221040</v>
      </c>
    </row>
    <row r="89" spans="1:7" x14ac:dyDescent="0.25">
      <c r="A89" s="11" t="s">
        <v>749</v>
      </c>
      <c r="B89" s="38">
        <v>15000000</v>
      </c>
      <c r="C89" s="11" t="s">
        <v>750</v>
      </c>
      <c r="D89" s="11">
        <v>25</v>
      </c>
      <c r="E89" s="11">
        <f t="shared" si="6"/>
        <v>152</v>
      </c>
      <c r="F89" s="11">
        <f t="shared" si="5"/>
        <v>1</v>
      </c>
      <c r="G89" s="11">
        <f t="shared" si="4"/>
        <v>2265000000</v>
      </c>
    </row>
    <row r="90" spans="1:7" x14ac:dyDescent="0.25">
      <c r="A90" s="11" t="s">
        <v>633</v>
      </c>
      <c r="B90" s="38">
        <v>244846</v>
      </c>
      <c r="C90" s="11" t="s">
        <v>784</v>
      </c>
      <c r="D90" s="11">
        <v>29</v>
      </c>
      <c r="E90" s="11">
        <f t="shared" si="6"/>
        <v>127</v>
      </c>
      <c r="F90" s="11">
        <f t="shared" si="5"/>
        <v>1</v>
      </c>
      <c r="G90" s="11">
        <f t="shared" si="4"/>
        <v>30850596</v>
      </c>
    </row>
    <row r="91" spans="1:7" x14ac:dyDescent="0.25">
      <c r="A91" s="11" t="s">
        <v>828</v>
      </c>
      <c r="B91" s="38">
        <v>272155</v>
      </c>
      <c r="C91" s="11" t="s">
        <v>830</v>
      </c>
      <c r="D91" s="11">
        <v>30</v>
      </c>
      <c r="E91" s="11">
        <f t="shared" si="6"/>
        <v>98</v>
      </c>
      <c r="F91" s="11">
        <f t="shared" si="5"/>
        <v>1</v>
      </c>
      <c r="G91" s="11">
        <f t="shared" si="4"/>
        <v>26399035</v>
      </c>
    </row>
    <row r="92" spans="1:7" x14ac:dyDescent="0.25">
      <c r="A92" s="11" t="s">
        <v>869</v>
      </c>
      <c r="B92" s="38">
        <v>3000000</v>
      </c>
      <c r="C92" s="11" t="s">
        <v>871</v>
      </c>
      <c r="D92" s="11">
        <v>0</v>
      </c>
      <c r="E92" s="11">
        <f t="shared" si="6"/>
        <v>68</v>
      </c>
      <c r="F92" s="11">
        <f t="shared" si="5"/>
        <v>1</v>
      </c>
      <c r="G92" s="11">
        <f t="shared" si="4"/>
        <v>201000000</v>
      </c>
    </row>
    <row r="93" spans="1:7" x14ac:dyDescent="0.25">
      <c r="A93" s="11" t="s">
        <v>869</v>
      </c>
      <c r="B93" s="35">
        <v>274385</v>
      </c>
      <c r="C93" s="11" t="s">
        <v>264</v>
      </c>
      <c r="D93" s="11">
        <v>1</v>
      </c>
      <c r="E93" s="11">
        <f t="shared" si="6"/>
        <v>68</v>
      </c>
      <c r="F93" s="11">
        <f t="shared" si="5"/>
        <v>1</v>
      </c>
      <c r="G93" s="11">
        <f t="shared" si="4"/>
        <v>18383795</v>
      </c>
    </row>
    <row r="94" spans="1:7" x14ac:dyDescent="0.25">
      <c r="A94" s="11" t="s">
        <v>878</v>
      </c>
      <c r="B94" s="38">
        <v>5500000</v>
      </c>
      <c r="C94" s="11" t="s">
        <v>879</v>
      </c>
      <c r="D94" s="11">
        <v>1</v>
      </c>
      <c r="E94" s="11">
        <f t="shared" si="6"/>
        <v>67</v>
      </c>
      <c r="F94" s="11">
        <f t="shared" si="5"/>
        <v>1</v>
      </c>
      <c r="G94" s="11">
        <f t="shared" si="4"/>
        <v>363000000</v>
      </c>
    </row>
    <row r="95" spans="1:7" x14ac:dyDescent="0.25">
      <c r="A95" s="11" t="s">
        <v>880</v>
      </c>
      <c r="B95" s="38">
        <v>3000000</v>
      </c>
      <c r="C95" s="11" t="s">
        <v>881</v>
      </c>
      <c r="D95" s="11">
        <v>1</v>
      </c>
      <c r="E95" s="11">
        <f t="shared" si="6"/>
        <v>66</v>
      </c>
      <c r="F95" s="11">
        <f t="shared" si="5"/>
        <v>1</v>
      </c>
      <c r="G95" s="11">
        <f t="shared" si="4"/>
        <v>195000000</v>
      </c>
    </row>
    <row r="96" spans="1:7" x14ac:dyDescent="0.25">
      <c r="A96" s="11" t="s">
        <v>882</v>
      </c>
      <c r="B96" s="38">
        <v>3000000</v>
      </c>
      <c r="C96" s="11" t="s">
        <v>883</v>
      </c>
      <c r="D96" s="11">
        <v>1</v>
      </c>
      <c r="E96" s="11">
        <f t="shared" si="6"/>
        <v>65</v>
      </c>
      <c r="F96" s="11">
        <f t="shared" si="5"/>
        <v>1</v>
      </c>
      <c r="G96" s="11">
        <f t="shared" si="4"/>
        <v>192000000</v>
      </c>
    </row>
    <row r="97" spans="1:7" x14ac:dyDescent="0.25">
      <c r="A97" s="11" t="s">
        <v>884</v>
      </c>
      <c r="B97" s="38">
        <v>3000000</v>
      </c>
      <c r="C97" s="11" t="s">
        <v>885</v>
      </c>
      <c r="D97" s="11">
        <v>1</v>
      </c>
      <c r="E97" s="11">
        <f t="shared" si="6"/>
        <v>64</v>
      </c>
      <c r="F97" s="11">
        <f t="shared" si="5"/>
        <v>1</v>
      </c>
      <c r="G97" s="11">
        <f t="shared" si="4"/>
        <v>189000000</v>
      </c>
    </row>
    <row r="98" spans="1:7" x14ac:dyDescent="0.25">
      <c r="A98" s="11" t="s">
        <v>886</v>
      </c>
      <c r="B98" s="38">
        <v>3000000</v>
      </c>
      <c r="C98" s="11" t="s">
        <v>887</v>
      </c>
      <c r="D98" s="11">
        <v>1</v>
      </c>
      <c r="E98" s="11">
        <f t="shared" si="6"/>
        <v>63</v>
      </c>
      <c r="F98" s="11">
        <f t="shared" si="5"/>
        <v>1</v>
      </c>
      <c r="G98" s="11">
        <f t="shared" si="4"/>
        <v>186000000</v>
      </c>
    </row>
    <row r="99" spans="1:7" x14ac:dyDescent="0.25">
      <c r="A99" s="11" t="s">
        <v>888</v>
      </c>
      <c r="B99" s="38">
        <v>3000000</v>
      </c>
      <c r="C99" s="11" t="s">
        <v>889</v>
      </c>
      <c r="D99" s="11">
        <v>2</v>
      </c>
      <c r="E99" s="11">
        <f t="shared" si="6"/>
        <v>62</v>
      </c>
      <c r="F99" s="11">
        <f t="shared" si="5"/>
        <v>1</v>
      </c>
      <c r="G99" s="11">
        <f t="shared" si="4"/>
        <v>183000000</v>
      </c>
    </row>
    <row r="100" spans="1:7" x14ac:dyDescent="0.25">
      <c r="A100" s="11" t="s">
        <v>890</v>
      </c>
      <c r="B100" s="38">
        <v>999500</v>
      </c>
      <c r="C100" s="11" t="s">
        <v>904</v>
      </c>
      <c r="D100" s="11">
        <v>1</v>
      </c>
      <c r="E100" s="11">
        <f t="shared" si="6"/>
        <v>60</v>
      </c>
      <c r="F100" s="11">
        <f t="shared" si="5"/>
        <v>1</v>
      </c>
      <c r="G100" s="11">
        <f t="shared" si="4"/>
        <v>58970500</v>
      </c>
    </row>
    <row r="101" spans="1:7" ht="30" x14ac:dyDescent="0.25">
      <c r="A101" s="11" t="s">
        <v>903</v>
      </c>
      <c r="B101" s="38">
        <v>-1986700</v>
      </c>
      <c r="C101" s="73" t="s">
        <v>905</v>
      </c>
      <c r="D101" s="11">
        <v>21</v>
      </c>
      <c r="E101" s="11">
        <f t="shared" si="6"/>
        <v>59</v>
      </c>
      <c r="F101" s="11">
        <f t="shared" si="5"/>
        <v>0</v>
      </c>
      <c r="G101" s="11">
        <f t="shared" si="4"/>
        <v>-117215300</v>
      </c>
    </row>
    <row r="102" spans="1:7" ht="30" x14ac:dyDescent="0.25">
      <c r="A102" s="11" t="s">
        <v>907</v>
      </c>
      <c r="B102" s="38">
        <v>3000000</v>
      </c>
      <c r="C102" s="73" t="s">
        <v>908</v>
      </c>
      <c r="D102" s="11">
        <v>0</v>
      </c>
      <c r="E102" s="11">
        <f t="shared" si="6"/>
        <v>38</v>
      </c>
      <c r="F102" s="11">
        <f t="shared" si="5"/>
        <v>1</v>
      </c>
      <c r="G102" s="11">
        <f t="shared" si="4"/>
        <v>111000000</v>
      </c>
    </row>
    <row r="103" spans="1:7" x14ac:dyDescent="0.25">
      <c r="A103" s="11" t="s">
        <v>1049</v>
      </c>
      <c r="B103" s="38">
        <v>295500</v>
      </c>
      <c r="C103" s="73" t="s">
        <v>1050</v>
      </c>
      <c r="D103" s="11">
        <v>15</v>
      </c>
      <c r="E103" s="11">
        <f t="shared" si="6"/>
        <v>38</v>
      </c>
      <c r="F103" s="11">
        <f t="shared" si="5"/>
        <v>1</v>
      </c>
      <c r="G103" s="11">
        <f t="shared" si="4"/>
        <v>10933500</v>
      </c>
    </row>
    <row r="104" spans="1:7" x14ac:dyDescent="0.25">
      <c r="A104" s="11" t="s">
        <v>932</v>
      </c>
      <c r="B104" s="38">
        <v>-10000</v>
      </c>
      <c r="C104" s="73" t="s">
        <v>938</v>
      </c>
      <c r="D104" s="11">
        <v>6</v>
      </c>
      <c r="E104" s="11">
        <f t="shared" si="6"/>
        <v>23</v>
      </c>
      <c r="F104" s="11">
        <f t="shared" si="5"/>
        <v>0</v>
      </c>
      <c r="G104" s="11">
        <f t="shared" si="4"/>
        <v>-230000</v>
      </c>
    </row>
    <row r="105" spans="1:7" x14ac:dyDescent="0.25">
      <c r="A105" s="11" t="s">
        <v>940</v>
      </c>
      <c r="B105" s="38">
        <v>1999000</v>
      </c>
      <c r="C105" s="73" t="s">
        <v>941</v>
      </c>
      <c r="D105" s="11">
        <v>5</v>
      </c>
      <c r="E105" s="11">
        <f t="shared" si="6"/>
        <v>17</v>
      </c>
      <c r="F105" s="11">
        <f t="shared" si="5"/>
        <v>1</v>
      </c>
      <c r="G105" s="11">
        <f t="shared" si="4"/>
        <v>31984000</v>
      </c>
    </row>
    <row r="106" spans="1:7" x14ac:dyDescent="0.25">
      <c r="A106" s="11" t="s">
        <v>959</v>
      </c>
      <c r="B106" s="38">
        <v>-60000000</v>
      </c>
      <c r="C106" s="73" t="s">
        <v>1043</v>
      </c>
      <c r="D106" s="11">
        <v>0</v>
      </c>
      <c r="E106" s="11">
        <f t="shared" si="6"/>
        <v>12</v>
      </c>
      <c r="F106" s="11">
        <f t="shared" si="5"/>
        <v>0</v>
      </c>
      <c r="G106" s="11">
        <f t="shared" si="4"/>
        <v>-720000000</v>
      </c>
    </row>
    <row r="107" spans="1:7" x14ac:dyDescent="0.25">
      <c r="A107" s="11" t="s">
        <v>959</v>
      </c>
      <c r="B107" s="38">
        <v>5850000</v>
      </c>
      <c r="C107" s="73" t="s">
        <v>1047</v>
      </c>
      <c r="D107" s="11">
        <v>1</v>
      </c>
      <c r="E107" s="11">
        <f t="shared" si="6"/>
        <v>12</v>
      </c>
      <c r="F107" s="11">
        <f t="shared" si="5"/>
        <v>1</v>
      </c>
      <c r="G107" s="11">
        <f t="shared" si="4"/>
        <v>64350000</v>
      </c>
    </row>
    <row r="108" spans="1:7" x14ac:dyDescent="0.25">
      <c r="A108" s="11" t="s">
        <v>1054</v>
      </c>
      <c r="B108" s="38">
        <v>3000000</v>
      </c>
      <c r="C108" s="73" t="s">
        <v>1064</v>
      </c>
      <c r="D108" s="11">
        <v>1</v>
      </c>
      <c r="E108" s="11">
        <f t="shared" si="6"/>
        <v>11</v>
      </c>
      <c r="F108" s="11">
        <f t="shared" si="5"/>
        <v>1</v>
      </c>
      <c r="G108" s="11">
        <f t="shared" si="4"/>
        <v>30000000</v>
      </c>
    </row>
    <row r="109" spans="1:7" x14ac:dyDescent="0.25">
      <c r="A109" s="11" t="s">
        <v>1065</v>
      </c>
      <c r="B109" s="38">
        <v>2000000</v>
      </c>
      <c r="C109" s="73" t="s">
        <v>1064</v>
      </c>
      <c r="D109" s="11">
        <v>0</v>
      </c>
      <c r="E109" s="11">
        <f t="shared" si="6"/>
        <v>10</v>
      </c>
      <c r="F109" s="11">
        <f t="shared" si="5"/>
        <v>1</v>
      </c>
      <c r="G109" s="11">
        <f t="shared" si="4"/>
        <v>18000000</v>
      </c>
    </row>
    <row r="110" spans="1:7" x14ac:dyDescent="0.25">
      <c r="A110" s="11" t="s">
        <v>1065</v>
      </c>
      <c r="B110" s="38">
        <v>-5000000</v>
      </c>
      <c r="C110" s="73" t="s">
        <v>1043</v>
      </c>
      <c r="D110" s="11">
        <v>1</v>
      </c>
      <c r="E110" s="11">
        <f t="shared" si="6"/>
        <v>10</v>
      </c>
      <c r="F110" s="11">
        <f t="shared" si="5"/>
        <v>0</v>
      </c>
      <c r="G110" s="11">
        <f t="shared" si="4"/>
        <v>-50000000</v>
      </c>
    </row>
    <row r="111" spans="1:7" x14ac:dyDescent="0.25">
      <c r="A111" s="11" t="s">
        <v>1071</v>
      </c>
      <c r="B111" s="38">
        <v>412668</v>
      </c>
      <c r="C111" s="73" t="s">
        <v>1072</v>
      </c>
      <c r="D111" s="11">
        <v>8</v>
      </c>
      <c r="E111" s="11">
        <f t="shared" si="6"/>
        <v>9</v>
      </c>
      <c r="F111" s="11">
        <f t="shared" si="5"/>
        <v>1</v>
      </c>
      <c r="G111" s="11">
        <f t="shared" si="4"/>
        <v>3301344</v>
      </c>
    </row>
    <row r="112" spans="1:7" x14ac:dyDescent="0.25">
      <c r="A112" s="11" t="s">
        <v>1112</v>
      </c>
      <c r="B112" s="38">
        <v>42000000</v>
      </c>
      <c r="C112" s="73" t="s">
        <v>1113</v>
      </c>
      <c r="D112" s="11">
        <v>1</v>
      </c>
      <c r="E112" s="11">
        <f t="shared" si="6"/>
        <v>1</v>
      </c>
      <c r="F112" s="11">
        <f t="shared" si="5"/>
        <v>1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49727461</v>
      </c>
      <c r="C127" s="11"/>
      <c r="D127" s="11"/>
      <c r="E127" s="11"/>
      <c r="F127" s="11"/>
      <c r="G127" s="29">
        <f>SUM(G2:G126)</f>
        <v>21075445247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43544308.361570247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873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898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907</v>
      </c>
      <c r="B4" s="39">
        <v>294852</v>
      </c>
      <c r="C4" s="39">
        <v>74657</v>
      </c>
      <c r="D4" s="35">
        <f t="shared" si="0"/>
        <v>220195</v>
      </c>
      <c r="E4" s="23" t="s">
        <v>917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932</v>
      </c>
      <c r="B4" s="18">
        <v>-10000</v>
      </c>
      <c r="C4" s="18">
        <v>-5000</v>
      </c>
      <c r="D4" s="3">
        <f t="shared" si="0"/>
        <v>-5000</v>
      </c>
      <c r="E4" s="11" t="s">
        <v>938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959</v>
      </c>
      <c r="B5" s="18">
        <v>-27000000</v>
      </c>
      <c r="C5" s="18">
        <v>0</v>
      </c>
      <c r="D5" s="3">
        <f t="shared" si="0"/>
        <v>-27000000</v>
      </c>
      <c r="E5" s="20" t="s">
        <v>1044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1071</v>
      </c>
      <c r="B6" s="18">
        <v>252436</v>
      </c>
      <c r="C6" s="18">
        <v>65510</v>
      </c>
      <c r="D6" s="3">
        <f t="shared" si="0"/>
        <v>186926</v>
      </c>
      <c r="E6" s="19" t="s">
        <v>1073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950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1063</v>
      </c>
    </row>
    <row r="36" spans="4:17" x14ac:dyDescent="0.25">
      <c r="D36" s="42">
        <v>245000</v>
      </c>
      <c r="E36" s="41" t="s">
        <v>1063</v>
      </c>
    </row>
    <row r="37" spans="4:17" x14ac:dyDescent="0.25">
      <c r="D37" s="7">
        <v>-25000</v>
      </c>
      <c r="E37" s="41" t="s">
        <v>1067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Normal="100" workbookViewId="0">
      <pane ySplit="1" topLeftCell="A26" activePane="bottomLeft" state="frozen"/>
      <selection pane="bottomLeft" activeCell="Q70" sqref="Q7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964</v>
      </c>
      <c r="B1" s="11" t="s">
        <v>961</v>
      </c>
      <c r="C1" s="11" t="s">
        <v>962</v>
      </c>
      <c r="D1" s="11" t="s">
        <v>973</v>
      </c>
      <c r="E1" s="11" t="s">
        <v>975</v>
      </c>
      <c r="F1" s="11" t="s">
        <v>965</v>
      </c>
      <c r="G1" s="11" t="s">
        <v>183</v>
      </c>
      <c r="H1" s="11" t="s">
        <v>980</v>
      </c>
      <c r="I1" s="11" t="s">
        <v>970</v>
      </c>
      <c r="J1" s="11" t="s">
        <v>976</v>
      </c>
      <c r="K1" s="11" t="s">
        <v>977</v>
      </c>
      <c r="L1" s="11" t="s">
        <v>971</v>
      </c>
      <c r="M1" s="11" t="s">
        <v>978</v>
      </c>
      <c r="N1" s="11" t="s">
        <v>5</v>
      </c>
      <c r="O1" s="11" t="s">
        <v>483</v>
      </c>
      <c r="P1" s="11" t="s">
        <v>39</v>
      </c>
      <c r="Q1" s="11" t="s">
        <v>1051</v>
      </c>
      <c r="R1" s="11" t="s">
        <v>981</v>
      </c>
      <c r="S1" s="74" t="s">
        <v>1068</v>
      </c>
      <c r="AB1" s="11" t="s">
        <v>980</v>
      </c>
      <c r="AC1" s="25"/>
    </row>
    <row r="2" spans="1:33" x14ac:dyDescent="0.25">
      <c r="A2" s="76" t="s">
        <v>951</v>
      </c>
      <c r="B2" s="76" t="s">
        <v>972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20</v>
      </c>
      <c r="AC2" s="25"/>
    </row>
    <row r="3" spans="1:33" x14ac:dyDescent="0.25">
      <c r="A3" s="76" t="s">
        <v>951</v>
      </c>
      <c r="B3" s="76" t="s">
        <v>972</v>
      </c>
      <c r="C3" s="76">
        <v>400</v>
      </c>
      <c r="D3" s="76" t="s">
        <v>974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967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968</v>
      </c>
      <c r="AC3" s="82" t="s">
        <v>1057</v>
      </c>
      <c r="AD3" s="82" t="s">
        <v>1058</v>
      </c>
      <c r="AE3" s="82" t="s">
        <v>1059</v>
      </c>
      <c r="AF3" s="82" t="s">
        <v>1060</v>
      </c>
      <c r="AG3" s="82" t="s">
        <v>969</v>
      </c>
    </row>
    <row r="4" spans="1:33" x14ac:dyDescent="0.25">
      <c r="A4" s="79" t="s">
        <v>951</v>
      </c>
      <c r="B4" s="79" t="s">
        <v>963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80435.999558584095</v>
      </c>
      <c r="M4" s="81"/>
      <c r="N4" s="79"/>
      <c r="O4" s="79"/>
      <c r="P4" s="81"/>
      <c r="Q4" s="81"/>
      <c r="R4" s="79"/>
      <c r="S4" s="80">
        <v>0</v>
      </c>
      <c r="U4" s="82"/>
      <c r="V4" s="82"/>
      <c r="W4" s="85">
        <v>0</v>
      </c>
      <c r="X4" s="82"/>
      <c r="Y4" s="85"/>
      <c r="Z4" s="86">
        <f>W4-Y4</f>
        <v>0</v>
      </c>
      <c r="AA4" s="82"/>
      <c r="AB4" s="85">
        <f t="shared" ref="AB4:AB10" si="2">W4*AA4*$AB$2/(365*100)</f>
        <v>0</v>
      </c>
      <c r="AC4" s="85">
        <f>AB4</f>
        <v>0</v>
      </c>
      <c r="AD4" s="85">
        <v>0</v>
      </c>
      <c r="AE4" s="85">
        <f>Y4+AC4</f>
        <v>0</v>
      </c>
      <c r="AF4" s="85">
        <f>Z4+AD4</f>
        <v>0</v>
      </c>
      <c r="AG4" s="86">
        <f t="shared" ref="AG4:AG9" si="3">W4+AB4</f>
        <v>0</v>
      </c>
    </row>
    <row r="5" spans="1:33" x14ac:dyDescent="0.25">
      <c r="A5" s="79" t="s">
        <v>1054</v>
      </c>
      <c r="B5" s="79" t="s">
        <v>963</v>
      </c>
      <c r="C5" s="79">
        <v>3</v>
      </c>
      <c r="D5" s="79" t="s">
        <v>974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/>
      <c r="V5" s="82"/>
      <c r="W5" s="85">
        <v>0</v>
      </c>
      <c r="X5" s="82"/>
      <c r="Y5" s="85"/>
      <c r="Z5" s="86">
        <f t="shared" ref="Z5:Z8" si="4">W5-Y5</f>
        <v>0</v>
      </c>
      <c r="AA5" s="82"/>
      <c r="AB5" s="85">
        <f t="shared" si="2"/>
        <v>0</v>
      </c>
      <c r="AC5" s="85">
        <v>0</v>
      </c>
      <c r="AD5" s="85">
        <f>AB5</f>
        <v>0</v>
      </c>
      <c r="AE5" s="85">
        <f t="shared" ref="AE5:AE11" si="5">Y5+AC5</f>
        <v>0</v>
      </c>
      <c r="AF5" s="85">
        <f t="shared" ref="AF5:AF11" si="6">Z5+AD5</f>
        <v>0</v>
      </c>
      <c r="AG5" s="86">
        <f t="shared" si="3"/>
        <v>0</v>
      </c>
    </row>
    <row r="6" spans="1:33" x14ac:dyDescent="0.25">
      <c r="A6" s="76" t="s">
        <v>951</v>
      </c>
      <c r="B6" s="76" t="s">
        <v>963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80479.954179743028</v>
      </c>
      <c r="M6" s="76"/>
      <c r="N6" s="76"/>
      <c r="O6" s="76"/>
      <c r="P6" s="76"/>
      <c r="Q6" s="76"/>
      <c r="R6" s="77">
        <v>81000</v>
      </c>
      <c r="S6" s="77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76" t="s">
        <v>1065</v>
      </c>
      <c r="B7" s="76" t="s">
        <v>963</v>
      </c>
      <c r="C7" s="76">
        <v>497</v>
      </c>
      <c r="D7" s="76" t="s">
        <v>974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79" t="s">
        <v>960</v>
      </c>
      <c r="B8" s="79" t="s">
        <v>979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97352.15615882774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959</v>
      </c>
      <c r="B9" s="79" t="s">
        <v>979</v>
      </c>
      <c r="C9" s="79">
        <v>300</v>
      </c>
      <c r="D9" s="79" t="s">
        <v>974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960</v>
      </c>
      <c r="B10" s="76" t="s">
        <v>979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97346.880363612901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1065</v>
      </c>
      <c r="B11" s="76" t="s">
        <v>979</v>
      </c>
      <c r="C11" s="76">
        <v>100</v>
      </c>
      <c r="D11" s="76" t="s">
        <v>974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959</v>
      </c>
      <c r="B12" s="79" t="s">
        <v>1041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0</v>
      </c>
      <c r="X12" s="82"/>
      <c r="Y12" s="85">
        <f>SUM(Y4:Y10)</f>
        <v>0</v>
      </c>
      <c r="Z12" s="86">
        <f>SUM(Z4:Z9)</f>
        <v>0</v>
      </c>
      <c r="AA12" s="82"/>
      <c r="AB12" s="86">
        <f>SUM(AB4:AB10)</f>
        <v>0</v>
      </c>
      <c r="AC12" s="86">
        <f>SUM(AC4:AC10)</f>
        <v>0</v>
      </c>
      <c r="AD12" s="86">
        <f>SUM(AD4:AD10)</f>
        <v>0</v>
      </c>
      <c r="AE12" s="86">
        <f>SUM(AE4:AE11)</f>
        <v>0</v>
      </c>
      <c r="AF12" s="86">
        <f>SUM(AF4:AF11)</f>
        <v>0</v>
      </c>
      <c r="AG12" s="86">
        <f>SUM(AG4:AG10)</f>
        <v>0</v>
      </c>
    </row>
    <row r="13" spans="1:33" x14ac:dyDescent="0.25">
      <c r="A13" s="79" t="s">
        <v>959</v>
      </c>
      <c r="B13" s="79" t="s">
        <v>1041</v>
      </c>
      <c r="C13" s="79">
        <v>200</v>
      </c>
      <c r="D13" s="79" t="s">
        <v>974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959</v>
      </c>
      <c r="B14" s="76" t="s">
        <v>989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755</v>
      </c>
      <c r="AA14" t="s">
        <v>452</v>
      </c>
    </row>
    <row r="15" spans="1:33" x14ac:dyDescent="0.25">
      <c r="A15" s="76" t="s">
        <v>959</v>
      </c>
      <c r="B15" s="76" t="s">
        <v>989</v>
      </c>
      <c r="C15" s="76">
        <v>200</v>
      </c>
      <c r="D15" s="76" t="s">
        <v>974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1061</v>
      </c>
      <c r="Z15" s="7">
        <f>Z12+Q70</f>
        <v>2401165.5</v>
      </c>
      <c r="AA15" s="7">
        <f>Y12+P70</f>
        <v>3802449.5</v>
      </c>
    </row>
    <row r="16" spans="1:33" x14ac:dyDescent="0.25">
      <c r="A16" s="79" t="s">
        <v>959</v>
      </c>
      <c r="B16" s="79" t="s">
        <v>972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-541.27183561643835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97465.327560978476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1062</v>
      </c>
      <c r="Z16" s="7">
        <f>Z15-AF12</f>
        <v>2401165.5</v>
      </c>
      <c r="AA16" s="7">
        <f>AA15-AE12</f>
        <v>3802449.5</v>
      </c>
    </row>
    <row r="17" spans="1:30" x14ac:dyDescent="0.25">
      <c r="A17" s="79" t="s">
        <v>1065</v>
      </c>
      <c r="B17" s="79" t="s">
        <v>972</v>
      </c>
      <c r="C17" s="79">
        <v>100</v>
      </c>
      <c r="D17" s="79" t="s">
        <v>974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959</v>
      </c>
      <c r="B18" s="76" t="s">
        <v>972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-541.27183561643835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97465.327560978476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1093</v>
      </c>
      <c r="Z18">
        <v>8</v>
      </c>
    </row>
    <row r="19" spans="1:30" x14ac:dyDescent="0.25">
      <c r="A19" s="76" t="s">
        <v>1065</v>
      </c>
      <c r="B19" s="76" t="s">
        <v>972</v>
      </c>
      <c r="C19" s="76">
        <v>100</v>
      </c>
      <c r="D19" s="76" t="s">
        <v>974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8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1094</v>
      </c>
      <c r="Z19">
        <v>8</v>
      </c>
    </row>
    <row r="20" spans="1:30" x14ac:dyDescent="0.25">
      <c r="A20" s="79" t="s">
        <v>959</v>
      </c>
      <c r="B20" s="79" t="s">
        <v>972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-1082.5436712328767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97465.327560978476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1065</v>
      </c>
      <c r="B21" s="79" t="s">
        <v>972</v>
      </c>
      <c r="C21" s="79">
        <v>200</v>
      </c>
      <c r="D21" s="79" t="s">
        <v>974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9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959</v>
      </c>
      <c r="B22" s="76" t="s">
        <v>985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-559.48580821917813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98015.981922419291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  <c r="W22" s="11" t="s">
        <v>982</v>
      </c>
      <c r="X22" s="11" t="s">
        <v>182</v>
      </c>
    </row>
    <row r="23" spans="1:30" x14ac:dyDescent="0.25">
      <c r="A23" s="76" t="s">
        <v>1065</v>
      </c>
      <c r="B23" s="76" t="s">
        <v>985</v>
      </c>
      <c r="C23" s="76">
        <v>100</v>
      </c>
      <c r="D23" s="76" t="s">
        <v>974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W23" s="11" t="s">
        <v>983</v>
      </c>
      <c r="X23" s="3">
        <v>0</v>
      </c>
      <c r="AD23" t="s">
        <v>25</v>
      </c>
    </row>
    <row r="24" spans="1:30" x14ac:dyDescent="0.25">
      <c r="A24" s="79" t="s">
        <v>959</v>
      </c>
      <c r="B24" s="79" t="s">
        <v>972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-1623.8155068493152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97465.327560978476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1065</v>
      </c>
      <c r="B25" s="79" t="s">
        <v>972</v>
      </c>
      <c r="C25" s="79">
        <v>300</v>
      </c>
      <c r="D25" s="79" t="s">
        <v>974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  <c r="W25" s="11"/>
      <c r="X25" s="3">
        <v>0</v>
      </c>
    </row>
    <row r="26" spans="1:30" x14ac:dyDescent="0.25">
      <c r="A26" s="76" t="s">
        <v>959</v>
      </c>
      <c r="B26" s="76" t="s">
        <v>985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98015.981922419291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  <c r="W26" s="11"/>
      <c r="X26" s="3">
        <v>0</v>
      </c>
    </row>
    <row r="27" spans="1:30" x14ac:dyDescent="0.25">
      <c r="A27" s="76" t="s">
        <v>1065</v>
      </c>
      <c r="B27" s="76" t="s">
        <v>985</v>
      </c>
      <c r="C27" s="76">
        <v>200</v>
      </c>
      <c r="D27" s="76" t="s">
        <v>974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959</v>
      </c>
      <c r="B28" s="90" t="s">
        <v>985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-2237.9432328767125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98012.862542445393</v>
      </c>
      <c r="M28" s="90"/>
      <c r="N28" s="90"/>
      <c r="O28" s="90"/>
      <c r="P28" s="90"/>
      <c r="Q28" s="90"/>
      <c r="R28" s="91"/>
      <c r="S28" s="91">
        <f t="shared" ref="S28" si="37">C28*E28+K28-F28</f>
        <v>-416020.0625</v>
      </c>
      <c r="W28" s="11"/>
      <c r="X28" s="3">
        <v>0</v>
      </c>
    </row>
    <row r="29" spans="1:30" x14ac:dyDescent="0.25">
      <c r="A29" s="90" t="s">
        <v>1103</v>
      </c>
      <c r="B29" s="90" t="s">
        <v>985</v>
      </c>
      <c r="C29" s="90">
        <v>100</v>
      </c>
      <c r="D29" s="90" t="s">
        <v>974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8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9">M29*N29/C28</f>
        <v>122958.5</v>
      </c>
      <c r="Q29" s="91">
        <f t="shared" ref="Q29" si="40">M29*O29/C28</f>
        <v>122958.5</v>
      </c>
      <c r="R29" s="90"/>
      <c r="S29" s="91">
        <f t="shared" ref="S29" si="41">-C29*E29+K29+F29</f>
        <v>463882.92750000022</v>
      </c>
      <c r="W29" s="11"/>
      <c r="X29" s="3"/>
      <c r="Z29" s="7">
        <f>X32-W12</f>
        <v>0</v>
      </c>
    </row>
    <row r="30" spans="1:30" x14ac:dyDescent="0.25">
      <c r="A30" s="79" t="s">
        <v>1054</v>
      </c>
      <c r="B30" s="79" t="s">
        <v>1041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0</v>
      </c>
    </row>
    <row r="31" spans="1:30" x14ac:dyDescent="0.25">
      <c r="A31" s="79" t="s">
        <v>1054</v>
      </c>
      <c r="B31" s="79" t="s">
        <v>1041</v>
      </c>
      <c r="C31" s="79">
        <v>143</v>
      </c>
      <c r="D31" s="79" t="s">
        <v>974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1054</v>
      </c>
      <c r="B32" s="76" t="s">
        <v>963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0</v>
      </c>
    </row>
    <row r="33" spans="1:24" x14ac:dyDescent="0.25">
      <c r="A33" s="76" t="s">
        <v>1054</v>
      </c>
      <c r="B33" s="76" t="s">
        <v>963</v>
      </c>
      <c r="C33" s="76">
        <v>500</v>
      </c>
      <c r="D33" s="76" t="s">
        <v>974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1054</v>
      </c>
      <c r="B34" s="79" t="s">
        <v>1041</v>
      </c>
      <c r="C34" s="79">
        <v>140</v>
      </c>
      <c r="D34" s="79" t="s">
        <v>1056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978</v>
      </c>
      <c r="X34" s="3">
        <f>X32-AG12</f>
        <v>0</v>
      </c>
    </row>
    <row r="35" spans="1:24" x14ac:dyDescent="0.25">
      <c r="A35" s="79" t="s">
        <v>1054</v>
      </c>
      <c r="B35" s="79" t="s">
        <v>1041</v>
      </c>
      <c r="C35" s="79">
        <v>140</v>
      </c>
      <c r="D35" s="79" t="s">
        <v>974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1065</v>
      </c>
      <c r="B36" s="76" t="s">
        <v>979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2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3">C36*E36+K36-F36</f>
        <v>-33703.5</v>
      </c>
    </row>
    <row r="37" spans="1:24" x14ac:dyDescent="0.25">
      <c r="A37" s="76" t="s">
        <v>1065</v>
      </c>
      <c r="B37" s="76" t="s">
        <v>979</v>
      </c>
      <c r="C37" s="76">
        <v>100</v>
      </c>
      <c r="D37" s="76" t="s">
        <v>974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2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1065</v>
      </c>
      <c r="B38" s="79" t="s">
        <v>986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4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5">C38*E38+K38-F38</f>
        <v>-1252998.5</v>
      </c>
    </row>
    <row r="39" spans="1:24" x14ac:dyDescent="0.25">
      <c r="A39" s="79" t="s">
        <v>1065</v>
      </c>
      <c r="B39" s="79" t="s">
        <v>986</v>
      </c>
      <c r="C39" s="79">
        <v>500</v>
      </c>
      <c r="D39" s="79" t="s">
        <v>974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4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6">M39*N39/C38</f>
        <v>216806.5</v>
      </c>
      <c r="Q39" s="81">
        <f t="shared" ref="Q39" si="47">M39*O39/C38</f>
        <v>216806.5</v>
      </c>
      <c r="R39" s="79"/>
      <c r="S39" s="80">
        <f t="shared" ref="S39" si="48">-C39*E39+K39+F39</f>
        <v>1252949</v>
      </c>
    </row>
    <row r="40" spans="1:24" x14ac:dyDescent="0.25">
      <c r="A40" s="76" t="s">
        <v>1065</v>
      </c>
      <c r="B40" s="76" t="s">
        <v>963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82589.914880068871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1103</v>
      </c>
      <c r="B41" s="76" t="s">
        <v>963</v>
      </c>
      <c r="C41" s="76">
        <v>8</v>
      </c>
      <c r="D41" s="76" t="s">
        <v>974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9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1065</v>
      </c>
      <c r="B42" s="79" t="s">
        <v>989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85778.80481263742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1104</v>
      </c>
      <c r="B43" s="79" t="s">
        <v>989</v>
      </c>
      <c r="C43" s="79">
        <v>1900</v>
      </c>
      <c r="D43" s="79" t="s">
        <v>974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50">M43*N43/C42</f>
        <v>505161.5</v>
      </c>
      <c r="Q43" s="81">
        <f t="shared" ref="Q43" si="51">M43*O43/C42</f>
        <v>505161.5</v>
      </c>
      <c r="R43" s="79"/>
      <c r="S43" s="80">
        <f t="shared" ref="S43" si="52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4"/>
        <v>0</v>
      </c>
      <c r="L52" s="76">
        <f t="shared" ref="L52" si="53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4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4"/>
        <v>0</v>
      </c>
      <c r="L53" s="76">
        <v>21</v>
      </c>
      <c r="M53" s="78">
        <f t="shared" ref="M53" si="55">F53-F52</f>
        <v>0</v>
      </c>
      <c r="N53" s="76">
        <v>50</v>
      </c>
      <c r="O53" s="76">
        <v>50</v>
      </c>
      <c r="P53" s="78">
        <f t="shared" ref="P53" si="56">M53*N53/C52</f>
        <v>0</v>
      </c>
      <c r="Q53" s="78">
        <f t="shared" ref="Q53" si="57">M53*O53/C52</f>
        <v>0</v>
      </c>
      <c r="R53" s="76"/>
      <c r="S53" s="89">
        <f t="shared" ref="S53" si="58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4"/>
        <v>0</v>
      </c>
      <c r="L54" s="79">
        <f t="shared" ref="L54" si="59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60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4"/>
        <v>0</v>
      </c>
      <c r="L55" s="79">
        <v>22</v>
      </c>
      <c r="M55" s="79">
        <f t="shared" ref="M55" si="61">F55-F54</f>
        <v>0</v>
      </c>
      <c r="N55" s="79">
        <v>50</v>
      </c>
      <c r="O55" s="79">
        <v>50</v>
      </c>
      <c r="P55" s="79">
        <f t="shared" ref="P55" si="62">M55*N55/C54</f>
        <v>0</v>
      </c>
      <c r="Q55" s="79">
        <f t="shared" ref="Q55" si="63">M55*O55/C54</f>
        <v>0</v>
      </c>
      <c r="R55" s="79"/>
      <c r="S55" s="80">
        <f t="shared" ref="S55" si="64">-C55*E55+K55+F55</f>
        <v>0</v>
      </c>
    </row>
    <row r="56" spans="1:20" x14ac:dyDescent="0.25">
      <c r="A56" s="16" t="s">
        <v>1109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5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6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7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8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9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70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1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2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3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1052</v>
      </c>
      <c r="Q71" s="11" t="s">
        <v>1053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5" spans="4:14" x14ac:dyDescent="0.25">
      <c r="D85" t="s">
        <v>25</v>
      </c>
    </row>
    <row r="86" spans="4:14" x14ac:dyDescent="0.25">
      <c r="G86" s="25"/>
    </row>
    <row r="87" spans="4:14" x14ac:dyDescent="0.25">
      <c r="I87" s="25"/>
    </row>
    <row r="88" spans="4:14" x14ac:dyDescent="0.25">
      <c r="I88" s="25"/>
    </row>
    <row r="89" spans="4:14" x14ac:dyDescent="0.25">
      <c r="I89" s="28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F18" sqref="F18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1088</v>
      </c>
      <c r="M1" s="11" t="s">
        <v>997</v>
      </c>
      <c r="N1" s="11" t="s">
        <v>1078</v>
      </c>
      <c r="O1" s="11" t="s">
        <v>999</v>
      </c>
      <c r="P1" s="11" t="s">
        <v>1084</v>
      </c>
      <c r="Q1" s="11" t="s">
        <v>1000</v>
      </c>
      <c r="R1" s="11" t="s">
        <v>1034</v>
      </c>
      <c r="S1" s="11" t="s">
        <v>1011</v>
      </c>
      <c r="T1" s="11" t="s">
        <v>966</v>
      </c>
      <c r="U1" s="69" t="s">
        <v>1083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980</v>
      </c>
      <c r="AD1" t="s">
        <v>1039</v>
      </c>
      <c r="AE1" t="s">
        <v>1040</v>
      </c>
      <c r="AI1">
        <v>0.51500000000000001</v>
      </c>
      <c r="AJ1" t="s">
        <v>1069</v>
      </c>
      <c r="AL1" t="s">
        <v>1079</v>
      </c>
      <c r="AM1" t="s">
        <v>1080</v>
      </c>
    </row>
    <row r="2" spans="1:39" x14ac:dyDescent="0.25">
      <c r="A2" s="92" t="s">
        <v>990</v>
      </c>
      <c r="B2" s="93">
        <f>$S2/(1+($AC$2-$O2+$P2)/36500)^$N2</f>
        <v>92989.828876672182</v>
      </c>
      <c r="C2" s="93">
        <f>$S2/(1+($AC$3-$O2+$P2)/36500)^$N2</f>
        <v>93116.205582398805</v>
      </c>
      <c r="D2" s="93">
        <f>$S2/(1+($AC$4-$O2+$P2)/36500)^$N2</f>
        <v>93274.419967493508</v>
      </c>
      <c r="E2" s="93">
        <f>$S2/(1+($AC$5-$O2+$P2)/36500)^$N2</f>
        <v>93432.90534737728</v>
      </c>
      <c r="F2" s="93">
        <f>$S2/(1+($AC$6-$O2+$P2)/36500)^$N2</f>
        <v>93591.662189942159</v>
      </c>
      <c r="G2" s="93">
        <f>$S2/(1+($AC$7-$O2+$P2)/36500)^$N2</f>
        <v>93750.690963887013</v>
      </c>
      <c r="H2" s="93">
        <f>$S2/(1+($AC$8-$O2+$P2)/36500)^$N2</f>
        <v>93909.992138733913</v>
      </c>
      <c r="I2" s="93">
        <f>$S2/(1+($AC$9-$O2+$P2)/36500)^$N2</f>
        <v>94069.566184816067</v>
      </c>
      <c r="J2" s="93">
        <f>$S2/(1+($AC$10-$O2+$P2)/36500)^$N2</f>
        <v>94229.413573287791</v>
      </c>
      <c r="K2" s="93">
        <f>$S2/(1+($AC$11-$O2+$P2)/36500)^$N2</f>
        <v>94389.534776127897</v>
      </c>
      <c r="L2" s="93">
        <f>$S2/(1+($AC$5-$O2+$P2)/36500)^$N2</f>
        <v>93432.90534737728</v>
      </c>
      <c r="M2" s="92" t="s">
        <v>1020</v>
      </c>
      <c r="N2" s="92">
        <f>132-$AD$19</f>
        <v>124</v>
      </c>
      <c r="O2" s="92">
        <v>0</v>
      </c>
      <c r="P2" s="92">
        <v>0</v>
      </c>
      <c r="Q2" s="92">
        <v>0</v>
      </c>
      <c r="R2" s="92">
        <f t="shared" ref="R2:R29" si="0">N2/30.5</f>
        <v>4.0655737704918034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1070</v>
      </c>
    </row>
    <row r="3" spans="1:39" x14ac:dyDescent="0.25">
      <c r="A3" s="94" t="s">
        <v>991</v>
      </c>
      <c r="B3" s="95">
        <f t="shared" ref="B3:B29" si="2">$S3/(1+($AC$2-$O3+$P3)/36500)^$N3</f>
        <v>91101.619891382608</v>
      </c>
      <c r="C3" s="95">
        <f t="shared" ref="C3:C29" si="3">$S3/(1+($AC$3-$O3+$P3)/36500)^$N3</f>
        <v>91260.407417610913</v>
      </c>
      <c r="D3" s="95">
        <f t="shared" ref="D3:D29" si="4">$S3/(1+($AC$4-$O3+$P3)/36500)^$N3</f>
        <v>91459.28353180096</v>
      </c>
      <c r="E3" s="95">
        <f t="shared" ref="E3:E29" si="5">$S3/(1+($AC$5-$O3+$P3)/36500)^$N3</f>
        <v>91658.595771667053</v>
      </c>
      <c r="F3" s="95">
        <f t="shared" ref="F3:F29" si="6">$S3/(1+($AC$6-$O3+$P3)/36500)^$N3</f>
        <v>91858.34509960674</v>
      </c>
      <c r="G3" s="95">
        <f t="shared" ref="G3:G29" si="7">$S3/(1+($AC$7-$O3+$P3)/36500)^$N3</f>
        <v>92058.532480145164</v>
      </c>
      <c r="H3" s="95">
        <f t="shared" ref="H3:H29" si="8">$S3/(1+($AC$8-$O3+$P3)/36500)^$N3</f>
        <v>92259.158879958704</v>
      </c>
      <c r="I3" s="95">
        <f t="shared" ref="I3:I29" si="9">$S3/(1+($AC$9-$O3+$P3)/36500)^$N3</f>
        <v>92460.225267862581</v>
      </c>
      <c r="J3" s="95">
        <f t="shared" ref="J3:J29" si="10">$S3/(1+($AC$10-$O3+$P3)/36500)^$N3</f>
        <v>92661.732614826557</v>
      </c>
      <c r="K3" s="95">
        <f t="shared" ref="K3:K29" si="11">$S3/(1+($AC$11-$O3+$P3)/36500)^$N3</f>
        <v>92863.68189398211</v>
      </c>
      <c r="L3" s="95">
        <f t="shared" ref="L3:L29" si="12">$S3/(1+($AC$5-$O3+$P3)/36500)^$N3</f>
        <v>91658.595771667053</v>
      </c>
      <c r="M3" s="94" t="s">
        <v>1021</v>
      </c>
      <c r="N3" s="94">
        <f>167-$AD$19</f>
        <v>159</v>
      </c>
      <c r="O3" s="94">
        <v>0</v>
      </c>
      <c r="P3" s="94">
        <v>0</v>
      </c>
      <c r="Q3" s="94">
        <v>0</v>
      </c>
      <c r="R3" s="94">
        <f t="shared" si="0"/>
        <v>5.2131147540983607</v>
      </c>
      <c r="S3" s="95">
        <v>100000</v>
      </c>
      <c r="T3" s="95">
        <v>92000</v>
      </c>
      <c r="U3" s="95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992</v>
      </c>
      <c r="B4" s="97">
        <f t="shared" si="2"/>
        <v>89566.183125306008</v>
      </c>
      <c r="C4" s="97">
        <f t="shared" si="3"/>
        <v>89750.796885704593</v>
      </c>
      <c r="D4" s="97">
        <f t="shared" si="4"/>
        <v>89982.102146169331</v>
      </c>
      <c r="E4" s="97">
        <f t="shared" si="5"/>
        <v>90214.006704334985</v>
      </c>
      <c r="F4" s="97">
        <f t="shared" si="6"/>
        <v>90446.512121187203</v>
      </c>
      <c r="G4" s="97">
        <f t="shared" si="7"/>
        <v>90679.619961787976</v>
      </c>
      <c r="H4" s="97">
        <f t="shared" si="8"/>
        <v>90913.331795308419</v>
      </c>
      <c r="I4" s="97">
        <f t="shared" si="9"/>
        <v>91147.649195019752</v>
      </c>
      <c r="J4" s="97">
        <f t="shared" si="10"/>
        <v>91382.573738316583</v>
      </c>
      <c r="K4" s="97">
        <f t="shared" si="11"/>
        <v>91618.107006730701</v>
      </c>
      <c r="L4" s="97">
        <f t="shared" si="12"/>
        <v>90214.006704334985</v>
      </c>
      <c r="M4" s="96" t="s">
        <v>1022</v>
      </c>
      <c r="N4" s="96">
        <f>196-$AD$19</f>
        <v>188</v>
      </c>
      <c r="O4" s="96">
        <v>0</v>
      </c>
      <c r="P4" s="96">
        <v>0</v>
      </c>
      <c r="Q4" s="96">
        <v>0</v>
      </c>
      <c r="R4" s="96">
        <f t="shared" si="0"/>
        <v>6.1639344262295079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993</v>
      </c>
      <c r="B5" s="93">
        <f t="shared" si="2"/>
        <v>70639.915176215392</v>
      </c>
      <c r="C5" s="93">
        <f t="shared" si="3"/>
        <v>71100.20451783351</v>
      </c>
      <c r="D5" s="93">
        <f t="shared" si="4"/>
        <v>71679.793338380157</v>
      </c>
      <c r="E5" s="93">
        <f t="shared" si="5"/>
        <v>72264.114835944376</v>
      </c>
      <c r="F5" s="93">
        <f t="shared" si="6"/>
        <v>72853.207721167884</v>
      </c>
      <c r="G5" s="93">
        <f t="shared" si="7"/>
        <v>73447.111021832039</v>
      </c>
      <c r="H5" s="93">
        <f t="shared" si="8"/>
        <v>74045.864085516951</v>
      </c>
      <c r="I5" s="93">
        <f t="shared" si="9"/>
        <v>74649.5065821756</v>
      </c>
      <c r="J5" s="93">
        <f t="shared" si="10"/>
        <v>75258.078506811464</v>
      </c>
      <c r="K5" s="93">
        <f t="shared" si="11"/>
        <v>75871.620182154351</v>
      </c>
      <c r="L5" s="93">
        <f t="shared" si="12"/>
        <v>72264.114835944376</v>
      </c>
      <c r="M5" s="92" t="s">
        <v>1023</v>
      </c>
      <c r="N5" s="92">
        <f>601-$AD$19</f>
        <v>593</v>
      </c>
      <c r="O5" s="92">
        <v>0</v>
      </c>
      <c r="P5" s="92">
        <v>0</v>
      </c>
      <c r="Q5" s="92">
        <v>0</v>
      </c>
      <c r="R5" s="92">
        <f t="shared" si="0"/>
        <v>19.442622950819672</v>
      </c>
      <c r="S5" s="93">
        <v>100000</v>
      </c>
      <c r="T5" s="93">
        <v>73200</v>
      </c>
      <c r="U5" s="93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974</v>
      </c>
      <c r="AC5">
        <v>20</v>
      </c>
    </row>
    <row r="6" spans="1:39" x14ac:dyDescent="0.25">
      <c r="A6" s="94" t="s">
        <v>994</v>
      </c>
      <c r="B6" s="95">
        <f t="shared" si="2"/>
        <v>85663.941250417643</v>
      </c>
      <c r="C6" s="95">
        <f t="shared" si="3"/>
        <v>85911.994520766253</v>
      </c>
      <c r="D6" s="95">
        <f t="shared" si="4"/>
        <v>86223.075269064051</v>
      </c>
      <c r="E6" s="95">
        <f t="shared" si="5"/>
        <v>86535.286699076401</v>
      </c>
      <c r="F6" s="95">
        <f t="shared" si="6"/>
        <v>86848.632936051363</v>
      </c>
      <c r="G6" s="95">
        <f t="shared" si="7"/>
        <v>87163.118120329629</v>
      </c>
      <c r="H6" s="95">
        <f t="shared" si="8"/>
        <v>87478.746407429921</v>
      </c>
      <c r="I6" s="95">
        <f t="shared" si="9"/>
        <v>87795.521968077941</v>
      </c>
      <c r="J6" s="95">
        <f t="shared" si="10"/>
        <v>88113.448988279211</v>
      </c>
      <c r="K6" s="95">
        <f t="shared" si="11"/>
        <v>88432.53166937911</v>
      </c>
      <c r="L6" s="95">
        <f t="shared" si="12"/>
        <v>86535.286699076401</v>
      </c>
      <c r="M6" s="94" t="s">
        <v>1024</v>
      </c>
      <c r="N6" s="94">
        <f>272-$AD$19</f>
        <v>264</v>
      </c>
      <c r="O6" s="94">
        <v>0</v>
      </c>
      <c r="P6" s="94">
        <v>0</v>
      </c>
      <c r="Q6" s="94">
        <v>0</v>
      </c>
      <c r="R6" s="94">
        <f t="shared" si="0"/>
        <v>8.6557377049180335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995</v>
      </c>
      <c r="B7" s="97">
        <f t="shared" si="2"/>
        <v>71808.796555578665</v>
      </c>
      <c r="C7" s="97">
        <f t="shared" si="3"/>
        <v>72254.540538329675</v>
      </c>
      <c r="D7" s="97">
        <f t="shared" si="4"/>
        <v>72815.620419268773</v>
      </c>
      <c r="E7" s="97">
        <f t="shared" si="5"/>
        <v>73381.065038376284</v>
      </c>
      <c r="F7" s="97">
        <f t="shared" si="6"/>
        <v>73950.90841018068</v>
      </c>
      <c r="G7" s="97">
        <f t="shared" si="7"/>
        <v>74525.184814730455</v>
      </c>
      <c r="H7" s="97">
        <f t="shared" si="8"/>
        <v>75103.928799725196</v>
      </c>
      <c r="I7" s="97">
        <f t="shared" si="9"/>
        <v>75687.175182559993</v>
      </c>
      <c r="J7" s="97">
        <f t="shared" si="10"/>
        <v>76274.959052465361</v>
      </c>
      <c r="K7" s="97">
        <f t="shared" si="11"/>
        <v>76867.315772640941</v>
      </c>
      <c r="L7" s="97">
        <f t="shared" si="12"/>
        <v>73381.065038376284</v>
      </c>
      <c r="M7" s="96" t="s">
        <v>1025</v>
      </c>
      <c r="N7" s="96">
        <f>573-$AD$19</f>
        <v>565</v>
      </c>
      <c r="O7" s="96">
        <v>0</v>
      </c>
      <c r="P7" s="96">
        <v>0</v>
      </c>
      <c r="Q7" s="96">
        <v>0</v>
      </c>
      <c r="R7" s="96">
        <f t="shared" si="0"/>
        <v>18.524590163934427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996</v>
      </c>
      <c r="B8" s="93">
        <f t="shared" si="2"/>
        <v>84963.875127295425</v>
      </c>
      <c r="C8" s="93">
        <f t="shared" si="3"/>
        <v>85222.967960097827</v>
      </c>
      <c r="D8" s="93">
        <f t="shared" si="4"/>
        <v>85547.949359071994</v>
      </c>
      <c r="E8" s="93">
        <f t="shared" si="5"/>
        <v>85874.174486912932</v>
      </c>
      <c r="F8" s="93">
        <f t="shared" si="6"/>
        <v>86201.648120600192</v>
      </c>
      <c r="G8" s="93">
        <f t="shared" si="7"/>
        <v>86530.375055511147</v>
      </c>
      <c r="H8" s="93">
        <f t="shared" si="8"/>
        <v>86860.360105523403</v>
      </c>
      <c r="I8" s="93">
        <f t="shared" si="9"/>
        <v>87191.608103058403</v>
      </c>
      <c r="J8" s="93">
        <f t="shared" si="10"/>
        <v>87524.123899170707</v>
      </c>
      <c r="K8" s="93">
        <f t="shared" si="11"/>
        <v>87857.912363624331</v>
      </c>
      <c r="L8" s="93">
        <f t="shared" si="12"/>
        <v>85874.174486912932</v>
      </c>
      <c r="M8" s="92" t="s">
        <v>1027</v>
      </c>
      <c r="N8" s="92">
        <f>286-$AD$19</f>
        <v>278</v>
      </c>
      <c r="O8" s="92">
        <v>0</v>
      </c>
      <c r="P8" s="92">
        <v>0</v>
      </c>
      <c r="Q8" s="92">
        <v>0</v>
      </c>
      <c r="R8" s="92">
        <f t="shared" si="0"/>
        <v>9.1147540983606561</v>
      </c>
      <c r="S8" s="93">
        <v>100000</v>
      </c>
      <c r="T8" s="93">
        <v>86700</v>
      </c>
      <c r="U8" s="93">
        <f t="shared" si="13"/>
        <v>99999.999999999985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1012</v>
      </c>
      <c r="B9" s="95">
        <f t="shared" si="2"/>
        <v>76322.246176255037</v>
      </c>
      <c r="C9" s="95">
        <f t="shared" si="3"/>
        <v>76708.581025412481</v>
      </c>
      <c r="D9" s="95">
        <f t="shared" si="4"/>
        <v>77194.256789978201</v>
      </c>
      <c r="E9" s="95">
        <f t="shared" si="5"/>
        <v>77683.014294057357</v>
      </c>
      <c r="F9" s="95">
        <f t="shared" si="6"/>
        <v>78174.873134697584</v>
      </c>
      <c r="G9" s="95">
        <f t="shared" si="7"/>
        <v>78669.853033812935</v>
      </c>
      <c r="H9" s="95">
        <f t="shared" si="8"/>
        <v>79167.973839028811</v>
      </c>
      <c r="I9" s="95">
        <f t="shared" si="9"/>
        <v>79669.255524442357</v>
      </c>
      <c r="J9" s="95">
        <f t="shared" si="10"/>
        <v>80173.718191456966</v>
      </c>
      <c r="K9" s="95">
        <f t="shared" si="11"/>
        <v>80681.382069601648</v>
      </c>
      <c r="L9" s="95">
        <f t="shared" si="12"/>
        <v>77683.014294057357</v>
      </c>
      <c r="M9" s="94" t="s">
        <v>1026</v>
      </c>
      <c r="N9" s="94">
        <f>469-$AD$19</f>
        <v>461</v>
      </c>
      <c r="O9" s="94">
        <v>0</v>
      </c>
      <c r="P9" s="94">
        <v>0</v>
      </c>
      <c r="Q9" s="94">
        <v>0</v>
      </c>
      <c r="R9" s="94">
        <f t="shared" si="0"/>
        <v>15.114754098360656</v>
      </c>
      <c r="S9" s="95">
        <v>100000</v>
      </c>
      <c r="T9" s="95">
        <v>78300</v>
      </c>
      <c r="U9" s="95">
        <f t="shared" si="13"/>
        <v>99999.999999999985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1013</v>
      </c>
      <c r="B10" s="97">
        <f t="shared" si="2"/>
        <v>76322.246176255037</v>
      </c>
      <c r="C10" s="97">
        <f t="shared" si="3"/>
        <v>76708.581025412481</v>
      </c>
      <c r="D10" s="97">
        <f t="shared" si="4"/>
        <v>77194.256789978201</v>
      </c>
      <c r="E10" s="97">
        <f t="shared" si="5"/>
        <v>77683.014294057357</v>
      </c>
      <c r="F10" s="97">
        <f t="shared" si="6"/>
        <v>78174.873134697584</v>
      </c>
      <c r="G10" s="97">
        <f t="shared" si="7"/>
        <v>78669.853033812935</v>
      </c>
      <c r="H10" s="97">
        <f t="shared" si="8"/>
        <v>79167.973839028811</v>
      </c>
      <c r="I10" s="97">
        <f t="shared" si="9"/>
        <v>79669.255524442357</v>
      </c>
      <c r="J10" s="97">
        <f t="shared" si="10"/>
        <v>80173.718191456966</v>
      </c>
      <c r="K10" s="97">
        <f t="shared" si="11"/>
        <v>80681.382069601648</v>
      </c>
      <c r="L10" s="97">
        <f t="shared" si="12"/>
        <v>77683.014294057357</v>
      </c>
      <c r="M10" s="96" t="s">
        <v>1026</v>
      </c>
      <c r="N10" s="96">
        <f>469-$AD$19</f>
        <v>461</v>
      </c>
      <c r="O10" s="96">
        <v>0</v>
      </c>
      <c r="P10" s="96">
        <v>0</v>
      </c>
      <c r="Q10" s="96">
        <v>0</v>
      </c>
      <c r="R10" s="96">
        <f t="shared" si="0"/>
        <v>15.114754098360656</v>
      </c>
      <c r="S10" s="97">
        <v>100000</v>
      </c>
      <c r="T10" s="97">
        <v>77700</v>
      </c>
      <c r="U10" s="97">
        <f t="shared" si="13"/>
        <v>99999.999999999985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1014</v>
      </c>
      <c r="B11" s="93">
        <f t="shared" si="2"/>
        <v>69775.757430799757</v>
      </c>
      <c r="C11" s="93">
        <f t="shared" si="3"/>
        <v>70246.571016684495</v>
      </c>
      <c r="D11" s="93">
        <f t="shared" si="4"/>
        <v>70839.565256683127</v>
      </c>
      <c r="E11" s="93">
        <f t="shared" si="5"/>
        <v>71437.57354518697</v>
      </c>
      <c r="F11" s="93">
        <f t="shared" si="6"/>
        <v>72040.638347896325</v>
      </c>
      <c r="G11" s="93">
        <f t="shared" si="7"/>
        <v>72648.802490727961</v>
      </c>
      <c r="H11" s="93">
        <f t="shared" si="8"/>
        <v>73262.109162933746</v>
      </c>
      <c r="I11" s="93">
        <f t="shared" si="9"/>
        <v>73880.601920135974</v>
      </c>
      <c r="J11" s="93">
        <f t="shared" si="10"/>
        <v>74504.324687473272</v>
      </c>
      <c r="K11" s="93">
        <f t="shared" si="11"/>
        <v>75133.321762748616</v>
      </c>
      <c r="L11" s="93">
        <f t="shared" si="12"/>
        <v>71437.57354518697</v>
      </c>
      <c r="M11" s="92" t="s">
        <v>1030</v>
      </c>
      <c r="N11" s="92">
        <f>622-$AD$19</f>
        <v>614</v>
      </c>
      <c r="O11" s="92">
        <v>0</v>
      </c>
      <c r="P11" s="92">
        <v>0</v>
      </c>
      <c r="Q11" s="92">
        <v>0</v>
      </c>
      <c r="R11" s="92">
        <f t="shared" si="0"/>
        <v>20.131147540983605</v>
      </c>
      <c r="S11" s="93">
        <v>100000</v>
      </c>
      <c r="T11" s="93">
        <v>71800</v>
      </c>
      <c r="U11" s="93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1015</v>
      </c>
      <c r="B12" s="95">
        <f>$S12/(1+($AC$2-$O12+$P12)/36500)^$N12</f>
        <v>86319.166574448478</v>
      </c>
      <c r="C12" s="95">
        <f>$S12/(1+($AC$3-$O12+$P12)/36500)^$N12</f>
        <v>86556.79205383097</v>
      </c>
      <c r="D12" s="95">
        <f t="shared" si="4"/>
        <v>86854.747693053796</v>
      </c>
      <c r="E12" s="95">
        <f t="shared" si="5"/>
        <v>87153.73308948052</v>
      </c>
      <c r="F12" s="95">
        <f t="shared" si="6"/>
        <v>87453.751816208271</v>
      </c>
      <c r="G12" s="95">
        <f t="shared" si="7"/>
        <v>87754.807458767202</v>
      </c>
      <c r="H12" s="95">
        <f t="shared" si="8"/>
        <v>88056.903615192539</v>
      </c>
      <c r="I12" s="95">
        <f t="shared" si="9"/>
        <v>88360.043896042538</v>
      </c>
      <c r="J12" s="95">
        <f t="shared" si="10"/>
        <v>88664.231924458712</v>
      </c>
      <c r="K12" s="95">
        <f t="shared" si="11"/>
        <v>88969.471336213202</v>
      </c>
      <c r="L12" s="95">
        <f t="shared" si="12"/>
        <v>87153.73308948052</v>
      </c>
      <c r="M12" s="94" t="s">
        <v>1031</v>
      </c>
      <c r="N12" s="94">
        <f>259-$AD$19</f>
        <v>251</v>
      </c>
      <c r="O12" s="94">
        <v>0</v>
      </c>
      <c r="P12" s="94">
        <v>0</v>
      </c>
      <c r="Q12" s="94">
        <v>0</v>
      </c>
      <c r="R12" s="94">
        <f t="shared" si="0"/>
        <v>8.2295081967213122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1016</v>
      </c>
      <c r="B13" s="97">
        <f t="shared" si="2"/>
        <v>67246.197374528769</v>
      </c>
      <c r="C13" s="97">
        <f t="shared" si="3"/>
        <v>67746.67246385527</v>
      </c>
      <c r="D13" s="97">
        <f t="shared" si="4"/>
        <v>68377.5153092127</v>
      </c>
      <c r="E13" s="97">
        <f t="shared" si="5"/>
        <v>69014.241188981396</v>
      </c>
      <c r="F13" s="97">
        <f t="shared" si="6"/>
        <v>69656.905048108601</v>
      </c>
      <c r="G13" s="97">
        <f t="shared" si="7"/>
        <v>70305.562345435072</v>
      </c>
      <c r="H13" s="97">
        <f t="shared" si="8"/>
        <v>70960.269058570426</v>
      </c>
      <c r="I13" s="97">
        <f t="shared" si="9"/>
        <v>71621.081688697581</v>
      </c>
      <c r="J13" s="97">
        <f t="shared" si="10"/>
        <v>72288.057265512034</v>
      </c>
      <c r="K13" s="97">
        <f t="shared" si="11"/>
        <v>72961.253352181404</v>
      </c>
      <c r="L13" s="97">
        <f t="shared" si="12"/>
        <v>69014.241188981396</v>
      </c>
      <c r="M13" s="96" t="s">
        <v>1032</v>
      </c>
      <c r="N13" s="96">
        <f>685-$AD$19</f>
        <v>677</v>
      </c>
      <c r="O13" s="96">
        <v>0</v>
      </c>
      <c r="P13" s="96">
        <v>0</v>
      </c>
      <c r="Q13" s="96">
        <v>0</v>
      </c>
      <c r="R13" s="96">
        <f t="shared" si="0"/>
        <v>22.196721311475411</v>
      </c>
      <c r="S13" s="97">
        <v>100000</v>
      </c>
      <c r="T13" s="97">
        <v>70000</v>
      </c>
      <c r="U13" s="97">
        <f t="shared" si="13"/>
        <v>100000.00000000001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1017</v>
      </c>
      <c r="B14" s="93">
        <f t="shared" si="2"/>
        <v>68358.922775571438</v>
      </c>
      <c r="C14" s="93">
        <f t="shared" si="3"/>
        <v>68846.562750024095</v>
      </c>
      <c r="D14" s="93">
        <f t="shared" si="4"/>
        <v>69461.014995734455</v>
      </c>
      <c r="E14" s="93">
        <f t="shared" si="5"/>
        <v>70080.959723370426</v>
      </c>
      <c r="F14" s="93">
        <f t="shared" si="6"/>
        <v>70706.446105496972</v>
      </c>
      <c r="G14" s="93">
        <f t="shared" si="7"/>
        <v>71337.523755558708</v>
      </c>
      <c r="H14" s="93">
        <f t="shared" si="8"/>
        <v>71974.242731899227</v>
      </c>
      <c r="I14" s="93">
        <f t="shared" si="9"/>
        <v>72616.653541702603</v>
      </c>
      <c r="J14" s="93">
        <f t="shared" si="10"/>
        <v>73264.807145058279</v>
      </c>
      <c r="K14" s="93">
        <f t="shared" si="11"/>
        <v>73918.754959036887</v>
      </c>
      <c r="L14" s="93">
        <f t="shared" si="12"/>
        <v>70080.959723370426</v>
      </c>
      <c r="M14" s="92" t="s">
        <v>1033</v>
      </c>
      <c r="N14" s="92">
        <f>657-$AD$19</f>
        <v>649</v>
      </c>
      <c r="O14" s="92">
        <v>0</v>
      </c>
      <c r="P14" s="92">
        <v>0</v>
      </c>
      <c r="Q14" s="92">
        <v>0</v>
      </c>
      <c r="R14" s="92">
        <f t="shared" si="0"/>
        <v>21.278688524590162</v>
      </c>
      <c r="S14" s="93">
        <v>100000</v>
      </c>
      <c r="T14" s="93">
        <v>70700</v>
      </c>
      <c r="U14" s="93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1018</v>
      </c>
      <c r="B15" s="95">
        <f t="shared" si="2"/>
        <v>68358.922775571438</v>
      </c>
      <c r="C15" s="95">
        <f t="shared" si="3"/>
        <v>68846.562750024095</v>
      </c>
      <c r="D15" s="95">
        <f t="shared" si="4"/>
        <v>69461.014995734455</v>
      </c>
      <c r="E15" s="95">
        <f t="shared" si="5"/>
        <v>70080.959723370426</v>
      </c>
      <c r="F15" s="95">
        <f t="shared" si="6"/>
        <v>70706.446105496972</v>
      </c>
      <c r="G15" s="95">
        <f t="shared" si="7"/>
        <v>71337.523755558708</v>
      </c>
      <c r="H15" s="95">
        <f t="shared" si="8"/>
        <v>71974.242731899227</v>
      </c>
      <c r="I15" s="95">
        <f t="shared" si="9"/>
        <v>72616.653541702603</v>
      </c>
      <c r="J15" s="95">
        <f t="shared" si="10"/>
        <v>73264.807145058279</v>
      </c>
      <c r="K15" s="95">
        <f t="shared" si="11"/>
        <v>73918.754959036887</v>
      </c>
      <c r="L15" s="95">
        <f t="shared" si="12"/>
        <v>70080.959723370426</v>
      </c>
      <c r="M15" s="94" t="s">
        <v>1033</v>
      </c>
      <c r="N15" s="94">
        <f>657-$AD$19</f>
        <v>649</v>
      </c>
      <c r="O15" s="94">
        <v>0</v>
      </c>
      <c r="P15" s="94">
        <v>0</v>
      </c>
      <c r="Q15" s="94">
        <v>0</v>
      </c>
      <c r="R15" s="94">
        <f t="shared" si="0"/>
        <v>21.278688524590162</v>
      </c>
      <c r="S15" s="95">
        <v>100000</v>
      </c>
      <c r="T15" s="95">
        <v>71000</v>
      </c>
      <c r="U15" s="95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1019</v>
      </c>
      <c r="B16" s="97">
        <f t="shared" si="2"/>
        <v>70639.915176215392</v>
      </c>
      <c r="C16" s="97">
        <f t="shared" si="3"/>
        <v>71100.20451783351</v>
      </c>
      <c r="D16" s="97">
        <f t="shared" si="4"/>
        <v>71679.793338380157</v>
      </c>
      <c r="E16" s="97">
        <f t="shared" si="5"/>
        <v>72264.114835944376</v>
      </c>
      <c r="F16" s="97">
        <f t="shared" si="6"/>
        <v>72853.207721167884</v>
      </c>
      <c r="G16" s="97">
        <f t="shared" si="7"/>
        <v>73447.111021832039</v>
      </c>
      <c r="H16" s="97">
        <f t="shared" si="8"/>
        <v>74045.864085516951</v>
      </c>
      <c r="I16" s="97">
        <f t="shared" si="9"/>
        <v>74649.5065821756</v>
      </c>
      <c r="J16" s="97">
        <f t="shared" si="10"/>
        <v>75258.078506811464</v>
      </c>
      <c r="K16" s="97">
        <f t="shared" si="11"/>
        <v>75871.620182154351</v>
      </c>
      <c r="L16" s="97">
        <f t="shared" si="12"/>
        <v>72264.114835944376</v>
      </c>
      <c r="M16" s="96" t="s">
        <v>1023</v>
      </c>
      <c r="N16" s="96">
        <f>601-$AD$19</f>
        <v>593</v>
      </c>
      <c r="O16" s="96">
        <v>0</v>
      </c>
      <c r="P16" s="96">
        <v>0</v>
      </c>
      <c r="Q16" s="96">
        <v>0</v>
      </c>
      <c r="R16" s="96">
        <f t="shared" si="0"/>
        <v>19.442622950819672</v>
      </c>
      <c r="S16" s="97">
        <v>100000</v>
      </c>
      <c r="T16" s="97">
        <v>73100</v>
      </c>
      <c r="U16" s="97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1037</v>
      </c>
      <c r="B17" s="93">
        <f t="shared" si="2"/>
        <v>82863.296635840175</v>
      </c>
      <c r="C17" s="93">
        <f t="shared" si="3"/>
        <v>84134.117524629124</v>
      </c>
      <c r="D17" s="93">
        <f t="shared" si="4"/>
        <v>85750.106148075196</v>
      </c>
      <c r="E17" s="93">
        <f t="shared" si="5"/>
        <v>87397.156313040468</v>
      </c>
      <c r="F17" s="93">
        <f t="shared" si="6"/>
        <v>89075.865503129971</v>
      </c>
      <c r="G17" s="93">
        <f t="shared" si="7"/>
        <v>90786.842703344984</v>
      </c>
      <c r="H17" s="93">
        <f t="shared" si="8"/>
        <v>92530.708621565471</v>
      </c>
      <c r="I17" s="93">
        <f t="shared" si="9"/>
        <v>94308.095914219724</v>
      </c>
      <c r="J17" s="93">
        <f t="shared" si="10"/>
        <v>96119.649416807093</v>
      </c>
      <c r="K17" s="93">
        <f t="shared" si="11"/>
        <v>97966.02637815976</v>
      </c>
      <c r="L17" s="93">
        <f t="shared" si="12"/>
        <v>87397.156313040468</v>
      </c>
      <c r="M17" s="92" t="s">
        <v>1038</v>
      </c>
      <c r="N17" s="92">
        <f>1397-$AD$19</f>
        <v>1389</v>
      </c>
      <c r="O17" s="92">
        <v>17</v>
      </c>
      <c r="P17" s="92">
        <f>$AI$2</f>
        <v>0.54</v>
      </c>
      <c r="Q17" s="92">
        <v>6</v>
      </c>
      <c r="R17" s="92">
        <f t="shared" si="0"/>
        <v>45.540983606557376</v>
      </c>
      <c r="S17" s="93">
        <v>100000</v>
      </c>
      <c r="T17" s="93">
        <v>96000</v>
      </c>
      <c r="U17" s="93">
        <f t="shared" si="13"/>
        <v>187040.68940682046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985</v>
      </c>
      <c r="B18" s="95">
        <f>$S18/(1+($AC$2-$O18+$P18)/36500)^$N18</f>
        <v>98615.877543415263</v>
      </c>
      <c r="C18" s="95">
        <f t="shared" si="3"/>
        <v>99218.581457055654</v>
      </c>
      <c r="D18" s="95">
        <f>$S18/(1+($AC$4-$O18+$P18)/36500)^$N18</f>
        <v>99977.153299885569</v>
      </c>
      <c r="E18" s="95">
        <f t="shared" si="5"/>
        <v>100741.53528535005</v>
      </c>
      <c r="F18" s="95">
        <f t="shared" si="6"/>
        <v>101511.77199569458</v>
      </c>
      <c r="G18" s="95">
        <f t="shared" si="7"/>
        <v>102287.90835585502</v>
      </c>
      <c r="H18" s="95">
        <f t="shared" si="8"/>
        <v>103069.98963612391</v>
      </c>
      <c r="I18" s="95">
        <f t="shared" si="9"/>
        <v>103858.06145477376</v>
      </c>
      <c r="J18" s="95">
        <f t="shared" si="10"/>
        <v>104652.16978079076</v>
      </c>
      <c r="K18" s="95">
        <f t="shared" si="11"/>
        <v>105452.36093653043</v>
      </c>
      <c r="L18" s="95">
        <f t="shared" si="12"/>
        <v>100741.53528535005</v>
      </c>
      <c r="M18" s="94" t="s">
        <v>1004</v>
      </c>
      <c r="N18" s="94">
        <f>564-$AD$19</f>
        <v>556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18.229508196721312</v>
      </c>
      <c r="S18" s="95">
        <v>100000</v>
      </c>
      <c r="T18" s="95">
        <v>100000</v>
      </c>
      <c r="U18" s="95">
        <f t="shared" si="13"/>
        <v>136608.65634789376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1035</v>
      </c>
      <c r="AD18" t="s">
        <v>1077</v>
      </c>
      <c r="AF18" s="26"/>
    </row>
    <row r="19" spans="1:32" x14ac:dyDescent="0.25">
      <c r="A19" s="96" t="s">
        <v>986</v>
      </c>
      <c r="B19" s="97">
        <f t="shared" si="2"/>
        <v>91133.030432757005</v>
      </c>
      <c r="C19" s="97">
        <f t="shared" si="3"/>
        <v>91707.006298695604</v>
      </c>
      <c r="D19" s="97">
        <f t="shared" si="4"/>
        <v>92429.571368702789</v>
      </c>
      <c r="E19" s="97">
        <f t="shared" si="5"/>
        <v>93157.839586807822</v>
      </c>
      <c r="F19" s="97">
        <f t="shared" si="6"/>
        <v>93891.856046514644</v>
      </c>
      <c r="G19" s="97">
        <f t="shared" si="7"/>
        <v>94631.66619854857</v>
      </c>
      <c r="H19" s="97">
        <f t="shared" si="8"/>
        <v>95377.315853595239</v>
      </c>
      <c r="I19" s="97">
        <f t="shared" si="9"/>
        <v>96128.851185228181</v>
      </c>
      <c r="J19" s="97">
        <f t="shared" si="10"/>
        <v>96886.31873276463</v>
      </c>
      <c r="K19" s="97">
        <f t="shared" si="11"/>
        <v>97649.765404132966</v>
      </c>
      <c r="L19" s="97">
        <f t="shared" si="12"/>
        <v>93157.839586807822</v>
      </c>
      <c r="M19" s="96" t="s">
        <v>1005</v>
      </c>
      <c r="N19" s="96">
        <f>581-$AD$19</f>
        <v>573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18.78688524590164</v>
      </c>
      <c r="S19" s="97">
        <v>100000</v>
      </c>
      <c r="T19" s="97">
        <v>92000</v>
      </c>
      <c r="U19" s="97">
        <f t="shared" si="13"/>
        <v>127507.16398579301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1086</v>
      </c>
      <c r="AD19">
        <v>8</v>
      </c>
      <c r="AF19" s="26"/>
    </row>
    <row r="20" spans="1:32" x14ac:dyDescent="0.25">
      <c r="A20" s="92" t="s">
        <v>979</v>
      </c>
      <c r="B20" s="93">
        <f>$S20/(1+($AC$2-$O20+$P20)/36500)^$N20</f>
        <v>98445.448669624253</v>
      </c>
      <c r="C20" s="93">
        <f t="shared" si="3"/>
        <v>99122.033738119528</v>
      </c>
      <c r="D20" s="93">
        <f t="shared" si="4"/>
        <v>99974.318372068883</v>
      </c>
      <c r="E20" s="93">
        <f t="shared" si="5"/>
        <v>100833.94306244917</v>
      </c>
      <c r="F20" s="93">
        <f t="shared" si="6"/>
        <v>101700.97112524921</v>
      </c>
      <c r="G20" s="93">
        <f t="shared" si="7"/>
        <v>102575.46642348923</v>
      </c>
      <c r="H20" s="93">
        <f t="shared" si="8"/>
        <v>103457.49337198559</v>
      </c>
      <c r="I20" s="93">
        <f t="shared" si="9"/>
        <v>104347.11694208474</v>
      </c>
      <c r="J20" s="93">
        <f t="shared" si="10"/>
        <v>105244.40266654073</v>
      </c>
      <c r="K20" s="93">
        <f t="shared" si="11"/>
        <v>106149.41664432226</v>
      </c>
      <c r="L20" s="93">
        <f t="shared" si="12"/>
        <v>100833.94306244917</v>
      </c>
      <c r="M20" s="92" t="s">
        <v>1006</v>
      </c>
      <c r="N20" s="92">
        <f>633-$AD$19</f>
        <v>625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20.491803278688526</v>
      </c>
      <c r="S20" s="93">
        <v>100000</v>
      </c>
      <c r="T20" s="93">
        <v>100000</v>
      </c>
      <c r="U20" s="93">
        <f t="shared" si="13"/>
        <v>142000.92201283583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972</v>
      </c>
      <c r="B21" s="95">
        <f t="shared" si="2"/>
        <v>98277.777946637172</v>
      </c>
      <c r="C21" s="95">
        <f t="shared" si="3"/>
        <v>99026.977178174609</v>
      </c>
      <c r="D21" s="95">
        <f t="shared" si="4"/>
        <v>99971.524608810068</v>
      </c>
      <c r="E21" s="95">
        <f t="shared" si="5"/>
        <v>100925.09452567529</v>
      </c>
      <c r="F21" s="95">
        <f t="shared" si="6"/>
        <v>101887.7732385592</v>
      </c>
      <c r="G21" s="95">
        <f t="shared" si="7"/>
        <v>102859.64788407745</v>
      </c>
      <c r="H21" s="95">
        <f t="shared" si="8"/>
        <v>103840.80643363934</v>
      </c>
      <c r="I21" s="95">
        <f t="shared" si="9"/>
        <v>104831.33770141088</v>
      </c>
      <c r="J21" s="95">
        <f t="shared" si="10"/>
        <v>105831.33135246829</v>
      </c>
      <c r="K21" s="95">
        <f t="shared" si="11"/>
        <v>106840.87791090489</v>
      </c>
      <c r="L21" s="95">
        <f t="shared" si="12"/>
        <v>100925.09452567529</v>
      </c>
      <c r="M21" s="94" t="s">
        <v>1007</v>
      </c>
      <c r="N21" s="94">
        <f>701-$AD$19</f>
        <v>693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22.721311475409838</v>
      </c>
      <c r="S21" s="95">
        <v>100000</v>
      </c>
      <c r="T21" s="95">
        <v>100000</v>
      </c>
      <c r="U21" s="95">
        <f t="shared" si="13"/>
        <v>147523.24029658601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987</v>
      </c>
      <c r="B22" s="97">
        <f t="shared" si="2"/>
        <v>92568.316636183677</v>
      </c>
      <c r="C22" s="97">
        <f t="shared" si="3"/>
        <v>93301.532954221679</v>
      </c>
      <c r="D22" s="97">
        <f t="shared" si="4"/>
        <v>94226.237225096484</v>
      </c>
      <c r="E22" s="97">
        <f t="shared" si="5"/>
        <v>95160.119023356747</v>
      </c>
      <c r="F22" s="97">
        <f t="shared" si="6"/>
        <v>96103.269561951369</v>
      </c>
      <c r="G22" s="97">
        <f t="shared" si="7"/>
        <v>97055.78096160038</v>
      </c>
      <c r="H22" s="97">
        <f t="shared" si="8"/>
        <v>98017.746259921463</v>
      </c>
      <c r="I22" s="97">
        <f t="shared" si="9"/>
        <v>98989.259420475806</v>
      </c>
      <c r="J22" s="97">
        <f t="shared" si="10"/>
        <v>99970.415342111024</v>
      </c>
      <c r="K22" s="97">
        <f t="shared" si="11"/>
        <v>100961.30986816382</v>
      </c>
      <c r="L22" s="97">
        <f t="shared" si="12"/>
        <v>95160.119023356747</v>
      </c>
      <c r="M22" s="96" t="s">
        <v>1036</v>
      </c>
      <c r="N22" s="96">
        <f>728-$AD$19</f>
        <v>720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23.606557377049182</v>
      </c>
      <c r="S22" s="97">
        <v>100000</v>
      </c>
      <c r="T22" s="97">
        <v>95000</v>
      </c>
      <c r="U22" s="97">
        <f t="shared" si="13"/>
        <v>141169.34739442499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988</v>
      </c>
      <c r="B23" s="93">
        <f t="shared" si="2"/>
        <v>89813.613521466788</v>
      </c>
      <c r="C23" s="93">
        <f t="shared" si="3"/>
        <v>90468.450622248623</v>
      </c>
      <c r="D23" s="93">
        <f t="shared" si="4"/>
        <v>91293.725377675495</v>
      </c>
      <c r="E23" s="93">
        <f t="shared" si="5"/>
        <v>92126.539944654709</v>
      </c>
      <c r="F23" s="93">
        <f t="shared" si="6"/>
        <v>92966.963312488879</v>
      </c>
      <c r="G23" s="93">
        <f t="shared" si="7"/>
        <v>93815.065102750799</v>
      </c>
      <c r="H23" s="93">
        <f t="shared" si="8"/>
        <v>94670.915574976956</v>
      </c>
      <c r="I23" s="93">
        <f t="shared" si="9"/>
        <v>95534.585632604561</v>
      </c>
      <c r="J23" s="93">
        <f t="shared" si="10"/>
        <v>96406.146828854369</v>
      </c>
      <c r="K23" s="93">
        <f t="shared" si="11"/>
        <v>97285.671372654338</v>
      </c>
      <c r="L23" s="93">
        <f t="shared" si="12"/>
        <v>92126.539944654709</v>
      </c>
      <c r="M23" s="92" t="s">
        <v>1008</v>
      </c>
      <c r="N23" s="92">
        <f>671-$AD$19</f>
        <v>663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21.737704918032787</v>
      </c>
      <c r="S23" s="93">
        <v>100000</v>
      </c>
      <c r="T23" s="93">
        <v>90600</v>
      </c>
      <c r="U23" s="93">
        <f t="shared" si="13"/>
        <v>132467.91456837932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975</v>
      </c>
      <c r="AD23" t="s">
        <v>1087</v>
      </c>
      <c r="AE23" s="25"/>
      <c r="AF23" s="26"/>
    </row>
    <row r="24" spans="1:32" x14ac:dyDescent="0.25">
      <c r="A24" s="94" t="s">
        <v>989</v>
      </c>
      <c r="B24" s="95">
        <f t="shared" si="2"/>
        <v>83048.436379389968</v>
      </c>
      <c r="C24" s="95">
        <f t="shared" si="3"/>
        <v>83942.23477239882</v>
      </c>
      <c r="D24" s="95">
        <f>$S24/(1+($AC$4-$O24+$P24)/36500)^$N24</f>
        <v>85073.036175439382</v>
      </c>
      <c r="E24" s="95">
        <f t="shared" si="5"/>
        <v>86219.086615628956</v>
      </c>
      <c r="F24" s="95">
        <f t="shared" si="6"/>
        <v>87380.591941768289</v>
      </c>
      <c r="G24" s="95">
        <f t="shared" si="7"/>
        <v>88557.760784339058</v>
      </c>
      <c r="H24" s="95">
        <f t="shared" si="8"/>
        <v>89750.804593028151</v>
      </c>
      <c r="I24" s="95">
        <f t="shared" si="9"/>
        <v>90959.937675034773</v>
      </c>
      <c r="J24" s="95">
        <f t="shared" si="10"/>
        <v>92185.377233548279</v>
      </c>
      <c r="K24" s="95">
        <f t="shared" si="11"/>
        <v>93427.343407076754</v>
      </c>
      <c r="L24" s="95">
        <f t="shared" si="12"/>
        <v>86219.086615628956</v>
      </c>
      <c r="M24" s="94" t="s">
        <v>1009</v>
      </c>
      <c r="N24" s="94">
        <f>985-$AD$19</f>
        <v>977</v>
      </c>
      <c r="O24" s="94">
        <v>15</v>
      </c>
      <c r="P24" s="94">
        <f>$AI$2</f>
        <v>0.54</v>
      </c>
      <c r="Q24" s="94">
        <v>6</v>
      </c>
      <c r="R24" s="94">
        <f t="shared" si="0"/>
        <v>32.032786885245905</v>
      </c>
      <c r="S24" s="95">
        <v>100000</v>
      </c>
      <c r="T24" s="95">
        <v>85800</v>
      </c>
      <c r="U24" s="95">
        <f t="shared" si="13"/>
        <v>147241.2783935513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963</v>
      </c>
      <c r="B25" s="97">
        <f t="shared" si="2"/>
        <v>81214.531567600963</v>
      </c>
      <c r="C25" s="97">
        <f t="shared" si="3"/>
        <v>81530.920748610864</v>
      </c>
      <c r="D25" s="97">
        <f t="shared" si="4"/>
        <v>81928.145986759919</v>
      </c>
      <c r="E25" s="97">
        <f t="shared" si="5"/>
        <v>82327.312016594835</v>
      </c>
      <c r="F25" s="97">
        <f t="shared" si="6"/>
        <v>82728.428347351102</v>
      </c>
      <c r="G25" s="97">
        <f t="shared" si="7"/>
        <v>83131.504534968335</v>
      </c>
      <c r="H25" s="97">
        <f t="shared" si="8"/>
        <v>83536.550182358653</v>
      </c>
      <c r="I25" s="97">
        <f t="shared" si="9"/>
        <v>83943.574939603714</v>
      </c>
      <c r="J25" s="97">
        <f t="shared" si="10"/>
        <v>84352.588504208936</v>
      </c>
      <c r="K25" s="97">
        <f t="shared" si="11"/>
        <v>84763.600621342091</v>
      </c>
      <c r="L25" s="97">
        <f t="shared" si="12"/>
        <v>82327.312016594835</v>
      </c>
      <c r="M25" s="96" t="s">
        <v>1010</v>
      </c>
      <c r="N25" s="96">
        <f>363-$AD$19</f>
        <v>355</v>
      </c>
      <c r="O25" s="96">
        <v>0</v>
      </c>
      <c r="P25" s="96">
        <v>0</v>
      </c>
      <c r="Q25" s="96">
        <v>0</v>
      </c>
      <c r="R25" s="96">
        <f t="shared" si="0"/>
        <v>11.639344262295081</v>
      </c>
      <c r="S25" s="97">
        <v>100000</v>
      </c>
      <c r="T25" s="97">
        <v>82800</v>
      </c>
      <c r="U25" s="97">
        <f>B25*(1+$AC$2/36500)^N25</f>
        <v>99999.999999999985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998</v>
      </c>
      <c r="B26" s="93">
        <f t="shared" si="2"/>
        <v>93512.564235149795</v>
      </c>
      <c r="C26" s="93">
        <f t="shared" si="3"/>
        <v>94814.777871382787</v>
      </c>
      <c r="D26" s="93">
        <f t="shared" si="4"/>
        <v>96468.09598219597</v>
      </c>
      <c r="E26" s="93">
        <f t="shared" si="5"/>
        <v>98150.266815707</v>
      </c>
      <c r="F26" s="93">
        <f t="shared" si="6"/>
        <v>99861.794298091379</v>
      </c>
      <c r="G26" s="93">
        <f t="shared" si="7"/>
        <v>101603.19116386834</v>
      </c>
      <c r="H26" s="93">
        <f t="shared" si="8"/>
        <v>103374.97911007315</v>
      </c>
      <c r="I26" s="93">
        <f t="shared" si="9"/>
        <v>105177.68895298812</v>
      </c>
      <c r="J26" s="93">
        <f t="shared" si="10"/>
        <v>107011.86078767705</v>
      </c>
      <c r="K26" s="93">
        <f t="shared" si="11"/>
        <v>108878.04415037319</v>
      </c>
      <c r="L26" s="93">
        <f t="shared" si="12"/>
        <v>98150.266815707</v>
      </c>
      <c r="M26" s="92" t="s">
        <v>1001</v>
      </c>
      <c r="N26" s="92">
        <f>1270-$AD$19</f>
        <v>1262</v>
      </c>
      <c r="O26" s="92">
        <v>20</v>
      </c>
      <c r="P26" s="92">
        <f>$AI$2</f>
        <v>0.54</v>
      </c>
      <c r="Q26" s="92">
        <v>6</v>
      </c>
      <c r="R26" s="92">
        <f t="shared" si="0"/>
        <v>41.377049180327866</v>
      </c>
      <c r="S26" s="93">
        <v>100000</v>
      </c>
      <c r="T26" s="93">
        <v>100000</v>
      </c>
      <c r="U26" s="93">
        <f t="shared" si="13"/>
        <v>195936.63415244926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1002</v>
      </c>
      <c r="B27" s="95">
        <f t="shared" si="2"/>
        <v>100080.60790701148</v>
      </c>
      <c r="C27" s="95">
        <f t="shared" si="3"/>
        <v>100460.81498086709</v>
      </c>
      <c r="D27" s="95">
        <f t="shared" si="4"/>
        <v>100938.11156565427</v>
      </c>
      <c r="E27" s="95">
        <f t="shared" si="5"/>
        <v>101417.68240615068</v>
      </c>
      <c r="F27" s="95">
        <f t="shared" si="6"/>
        <v>101899.53837027012</v>
      </c>
      <c r="G27" s="95">
        <f t="shared" si="7"/>
        <v>102383.69037799569</v>
      </c>
      <c r="H27" s="95">
        <f t="shared" si="8"/>
        <v>102870.14940166347</v>
      </c>
      <c r="I27" s="95">
        <f t="shared" si="9"/>
        <v>103358.92646618623</v>
      </c>
      <c r="J27" s="95">
        <f t="shared" si="10"/>
        <v>103850.03264931421</v>
      </c>
      <c r="K27" s="95">
        <f t="shared" si="11"/>
        <v>104343.47908189305</v>
      </c>
      <c r="L27" s="95">
        <f t="shared" si="12"/>
        <v>101417.68240615068</v>
      </c>
      <c r="M27" s="94" t="s">
        <v>1003</v>
      </c>
      <c r="N27" s="94">
        <f>354-$AD$19</f>
        <v>346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11.344262295081966</v>
      </c>
      <c r="S27" s="95">
        <v>100000</v>
      </c>
      <c r="T27" s="95">
        <v>103000</v>
      </c>
      <c r="U27" s="95">
        <f t="shared" si="13"/>
        <v>122581.58017325893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1028</v>
      </c>
      <c r="B28" s="97">
        <f t="shared" si="2"/>
        <v>99162.979349223868</v>
      </c>
      <c r="C28" s="97">
        <f t="shared" si="3"/>
        <v>100000</v>
      </c>
      <c r="D28" s="97">
        <f t="shared" si="4"/>
        <v>101056.23128060235</v>
      </c>
      <c r="E28" s="97">
        <f t="shared" si="5"/>
        <v>102123.63350538079</v>
      </c>
      <c r="F28" s="97">
        <f t="shared" si="6"/>
        <v>103202.32497627998</v>
      </c>
      <c r="G28" s="97">
        <f t="shared" si="7"/>
        <v>104292.42524968335</v>
      </c>
      <c r="H28" s="97">
        <f t="shared" si="8"/>
        <v>105394.05514983843</v>
      </c>
      <c r="I28" s="97">
        <f t="shared" si="9"/>
        <v>106507.33678220454</v>
      </c>
      <c r="J28" s="97">
        <f t="shared" si="10"/>
        <v>107632.39354713249</v>
      </c>
      <c r="K28" s="97">
        <f t="shared" si="11"/>
        <v>108769.35015357207</v>
      </c>
      <c r="L28" s="97">
        <f t="shared" si="12"/>
        <v>102123.63350538079</v>
      </c>
      <c r="M28" s="96" t="s">
        <v>1029</v>
      </c>
      <c r="N28" s="96">
        <f>775-$AD$19</f>
        <v>767</v>
      </c>
      <c r="O28" s="96">
        <v>21</v>
      </c>
      <c r="P28" s="96">
        <v>0</v>
      </c>
      <c r="Q28" s="96">
        <v>1</v>
      </c>
      <c r="R28" s="96">
        <f t="shared" si="0"/>
        <v>25.147540983606557</v>
      </c>
      <c r="S28" s="97">
        <v>100000</v>
      </c>
      <c r="T28" s="97">
        <v>104000</v>
      </c>
      <c r="U28" s="97">
        <f t="shared" si="13"/>
        <v>155450.30941154735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1081</v>
      </c>
      <c r="B29" s="93">
        <f t="shared" si="2"/>
        <v>83606.746766608849</v>
      </c>
      <c r="C29" s="93">
        <f t="shared" si="3"/>
        <v>84827.600491031495</v>
      </c>
      <c r="D29" s="93">
        <f t="shared" si="4"/>
        <v>86378.787027071987</v>
      </c>
      <c r="E29" s="93">
        <f t="shared" si="5"/>
        <v>87958.360923130473</v>
      </c>
      <c r="F29" s="93">
        <f t="shared" si="6"/>
        <v>89566.842079213908</v>
      </c>
      <c r="G29" s="93">
        <f t="shared" si="7"/>
        <v>91204.759924438418</v>
      </c>
      <c r="H29" s="93">
        <f t="shared" si="8"/>
        <v>92872.65359174498</v>
      </c>
      <c r="I29" s="93">
        <f t="shared" si="9"/>
        <v>94571.072095743584</v>
      </c>
      <c r="J29" s="93">
        <f t="shared" si="10"/>
        <v>96300.574514302265</v>
      </c>
      <c r="K29" s="93">
        <f t="shared" si="11"/>
        <v>98061.73017279635</v>
      </c>
      <c r="L29" s="93">
        <f t="shared" si="12"/>
        <v>87958.360923130473</v>
      </c>
      <c r="M29" s="92" t="s">
        <v>1082</v>
      </c>
      <c r="N29" s="92">
        <f>1331-$AD$19</f>
        <v>1323</v>
      </c>
      <c r="O29" s="92">
        <v>17</v>
      </c>
      <c r="P29" s="92">
        <f>AI2</f>
        <v>0.54</v>
      </c>
      <c r="Q29" s="92">
        <v>6</v>
      </c>
      <c r="R29" s="92">
        <f t="shared" si="0"/>
        <v>43.377049180327866</v>
      </c>
      <c r="S29" s="93">
        <v>100000</v>
      </c>
      <c r="T29" s="93"/>
      <c r="U29" s="93">
        <f t="shared" si="13"/>
        <v>181557.72201831054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1095</v>
      </c>
    </row>
    <row r="2" spans="1:1" x14ac:dyDescent="0.25">
      <c r="A2" t="s">
        <v>1096</v>
      </c>
    </row>
    <row r="3" spans="1:1" x14ac:dyDescent="0.25">
      <c r="A3" t="s">
        <v>1097</v>
      </c>
    </row>
    <row r="4" spans="1:1" x14ac:dyDescent="0.25">
      <c r="A4" t="s">
        <v>1098</v>
      </c>
    </row>
    <row r="5" spans="1:1" x14ac:dyDescent="0.25">
      <c r="A5" t="s">
        <v>1099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937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937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937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937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937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937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937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937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937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815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921</v>
      </c>
      <c r="B13" s="3">
        <v>436</v>
      </c>
      <c r="C13" s="11" t="s">
        <v>830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833</v>
      </c>
      <c r="B14" s="3">
        <v>1000000</v>
      </c>
      <c r="C14" s="11" t="s">
        <v>836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838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838</v>
      </c>
      <c r="B16" s="3">
        <v>-70600</v>
      </c>
      <c r="C16" s="11" t="s">
        <v>839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838</v>
      </c>
      <c r="B17" s="3">
        <v>-450030</v>
      </c>
      <c r="C17" s="11" t="s">
        <v>840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841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844</v>
      </c>
      <c r="B19" s="3">
        <v>-26000</v>
      </c>
      <c r="C19" s="11" t="s">
        <v>845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849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851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854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857</v>
      </c>
      <c r="B23" s="3">
        <v>-95500</v>
      </c>
      <c r="C23" s="11" t="s">
        <v>858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859</v>
      </c>
      <c r="B24" s="3">
        <v>2000000</v>
      </c>
      <c r="C24" s="11" t="s">
        <v>860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859</v>
      </c>
      <c r="B25" s="3">
        <v>-131450</v>
      </c>
      <c r="C25" s="11" t="s">
        <v>862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864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865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866</v>
      </c>
      <c r="B28" s="3">
        <v>-180500</v>
      </c>
      <c r="C28" s="11" t="s">
        <v>867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869</v>
      </c>
      <c r="B29" s="35">
        <v>7117</v>
      </c>
      <c r="C29" s="11" t="s">
        <v>876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884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890</v>
      </c>
      <c r="B31" s="3">
        <v>-47053</v>
      </c>
      <c r="C31" s="11" t="s">
        <v>891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892</v>
      </c>
      <c r="B32" s="3">
        <v>-33870</v>
      </c>
      <c r="C32" s="11" t="s">
        <v>893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894</v>
      </c>
      <c r="B33" s="3">
        <v>-22000</v>
      </c>
      <c r="C33" s="11" t="s">
        <v>895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894</v>
      </c>
      <c r="B34" s="3">
        <v>-250000</v>
      </c>
      <c r="C34" s="11" t="s">
        <v>896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894</v>
      </c>
      <c r="B35" s="3">
        <v>-650500</v>
      </c>
      <c r="C35" s="11" t="s">
        <v>897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898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899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922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923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924</v>
      </c>
      <c r="B40" s="3">
        <v>-30000</v>
      </c>
      <c r="C40" s="11" t="s">
        <v>925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907</v>
      </c>
      <c r="B41" s="3">
        <v>7481</v>
      </c>
      <c r="C41" s="11" t="s">
        <v>926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910</v>
      </c>
      <c r="B42" s="3">
        <v>1000000</v>
      </c>
      <c r="C42" s="11" t="s">
        <v>911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927</v>
      </c>
      <c r="B43" s="3">
        <v>-39330</v>
      </c>
      <c r="C43" s="11" t="s">
        <v>913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928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912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914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929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930</v>
      </c>
      <c r="B48" s="3">
        <v>-83000</v>
      </c>
      <c r="C48" s="11" t="s">
        <v>931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932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933</v>
      </c>
      <c r="B50" s="3">
        <v>-180000</v>
      </c>
      <c r="C50" s="11" t="s">
        <v>934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935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936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946</v>
      </c>
      <c r="B53" s="3">
        <v>-22000</v>
      </c>
      <c r="C53" s="11" t="s">
        <v>947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940</v>
      </c>
      <c r="B54" s="3">
        <v>999000</v>
      </c>
      <c r="C54" s="11" t="s">
        <v>944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940</v>
      </c>
      <c r="B55" s="3">
        <v>106900</v>
      </c>
      <c r="C55" s="11" t="s">
        <v>945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940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951</v>
      </c>
      <c r="B57" s="3">
        <v>-18400</v>
      </c>
      <c r="C57" s="11" t="s">
        <v>891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960</v>
      </c>
      <c r="B58" s="3">
        <v>-457777</v>
      </c>
      <c r="C58" s="11" t="s">
        <v>953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1075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1054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1071</v>
      </c>
      <c r="B61" s="3">
        <v>4172</v>
      </c>
      <c r="C61" s="11" t="s">
        <v>1073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1077</v>
      </c>
      <c r="B62" s="3">
        <v>-161000</v>
      </c>
      <c r="C62" s="11" t="s">
        <v>1085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1091</v>
      </c>
      <c r="B63" s="3">
        <v>-149505</v>
      </c>
      <c r="C63" s="11" t="s">
        <v>1092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1104</v>
      </c>
      <c r="B64" s="3">
        <v>-4940</v>
      </c>
      <c r="C64" s="11" t="s">
        <v>1108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B186" sqref="B18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666</v>
      </c>
      <c r="E2" s="11">
        <f>IF(B2&gt;0,1,0)</f>
        <v>1</v>
      </c>
      <c r="F2" s="11">
        <f>B2*(D2-E2)</f>
        <v>64305500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664</v>
      </c>
      <c r="E3" s="11">
        <f t="shared" ref="E3:E66" si="1">IF(B3&gt;0,1,0)</f>
        <v>1</v>
      </c>
      <c r="F3" s="11">
        <f t="shared" ref="F3:F66" si="2">B3*(D3-E3)</f>
        <v>1989000000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661</v>
      </c>
      <c r="E4" s="11">
        <f t="shared" si="1"/>
        <v>0</v>
      </c>
      <c r="F4" s="11">
        <f t="shared" si="2"/>
        <v>-132200000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659</v>
      </c>
      <c r="E5" s="11">
        <f t="shared" si="1"/>
        <v>0</v>
      </c>
      <c r="F5" s="11">
        <f t="shared" si="2"/>
        <v>-65900000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658</v>
      </c>
      <c r="E6" s="11">
        <f t="shared" si="1"/>
        <v>0</v>
      </c>
      <c r="F6" s="11">
        <f t="shared" si="2"/>
        <v>-36190000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657</v>
      </c>
      <c r="E7" s="11">
        <f t="shared" si="1"/>
        <v>0</v>
      </c>
      <c r="F7" s="11">
        <f t="shared" si="2"/>
        <v>-131400000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653</v>
      </c>
      <c r="E8" s="11">
        <f t="shared" si="1"/>
        <v>0</v>
      </c>
      <c r="F8" s="11">
        <f t="shared" si="2"/>
        <v>-130600000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643</v>
      </c>
      <c r="E9" s="11">
        <f t="shared" si="1"/>
        <v>0</v>
      </c>
      <c r="F9" s="11">
        <f t="shared" si="2"/>
        <v>-611171500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642</v>
      </c>
      <c r="E10" s="11">
        <f t="shared" si="1"/>
        <v>1</v>
      </c>
      <c r="F10" s="11">
        <f t="shared" si="2"/>
        <v>1282000000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640</v>
      </c>
      <c r="E11" s="11">
        <f t="shared" si="1"/>
        <v>0</v>
      </c>
      <c r="F11" s="11">
        <f t="shared" si="2"/>
        <v>-681600000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637</v>
      </c>
      <c r="E12" s="11">
        <f t="shared" si="1"/>
        <v>0</v>
      </c>
      <c r="F12" s="11">
        <f t="shared" si="2"/>
        <v>-28665000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636</v>
      </c>
      <c r="E13" s="11">
        <f t="shared" si="1"/>
        <v>0</v>
      </c>
      <c r="F13" s="11">
        <f t="shared" si="2"/>
        <v>-1272445200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632</v>
      </c>
      <c r="E14" s="11">
        <f t="shared" si="1"/>
        <v>0</v>
      </c>
      <c r="F14" s="11">
        <f t="shared" si="2"/>
        <v>-126400000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630</v>
      </c>
      <c r="E15" s="11">
        <f t="shared" si="1"/>
        <v>1</v>
      </c>
      <c r="F15" s="11">
        <f t="shared" si="2"/>
        <v>1258000000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630</v>
      </c>
      <c r="E16" s="11">
        <f t="shared" si="1"/>
        <v>1</v>
      </c>
      <c r="F16" s="11">
        <f t="shared" si="2"/>
        <v>1258000000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630</v>
      </c>
      <c r="E17" s="11">
        <f t="shared" si="1"/>
        <v>1</v>
      </c>
      <c r="F17" s="11">
        <f t="shared" si="2"/>
        <v>754800000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630</v>
      </c>
      <c r="E18" s="11">
        <f t="shared" si="1"/>
        <v>1</v>
      </c>
      <c r="F18" s="11">
        <f t="shared" si="2"/>
        <v>629000000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629</v>
      </c>
      <c r="E19" s="11">
        <f t="shared" si="1"/>
        <v>1</v>
      </c>
      <c r="F19" s="11">
        <f t="shared" si="2"/>
        <v>1884000000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629</v>
      </c>
      <c r="E20" s="11">
        <f t="shared" si="1"/>
        <v>0</v>
      </c>
      <c r="F20" s="11">
        <f t="shared" si="2"/>
        <v>-272168300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629</v>
      </c>
      <c r="E21" s="11">
        <f t="shared" si="1"/>
        <v>0</v>
      </c>
      <c r="F21" s="11">
        <f t="shared" si="2"/>
        <v>-272168300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629</v>
      </c>
      <c r="E22" s="11">
        <f t="shared" si="1"/>
        <v>0</v>
      </c>
      <c r="F22" s="11">
        <f t="shared" si="2"/>
        <v>-272168300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629</v>
      </c>
      <c r="E23" s="11">
        <f t="shared" si="1"/>
        <v>0</v>
      </c>
      <c r="F23" s="11">
        <f t="shared" si="2"/>
        <v>-272168300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629</v>
      </c>
      <c r="E24" s="11">
        <f t="shared" si="1"/>
        <v>0</v>
      </c>
      <c r="F24" s="11">
        <f t="shared" si="2"/>
        <v>-272168300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629</v>
      </c>
      <c r="E25" s="11">
        <f t="shared" si="1"/>
        <v>0</v>
      </c>
      <c r="F25" s="11">
        <f t="shared" si="2"/>
        <v>-125800000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628</v>
      </c>
      <c r="E26" s="11">
        <f t="shared" si="1"/>
        <v>1</v>
      </c>
      <c r="F26" s="11">
        <f t="shared" si="2"/>
        <v>1881000000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626</v>
      </c>
      <c r="E27" s="11">
        <f t="shared" si="1"/>
        <v>0</v>
      </c>
      <c r="F27" s="11">
        <f t="shared" si="2"/>
        <v>-125200000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625</v>
      </c>
      <c r="E28" s="11">
        <f t="shared" si="1"/>
        <v>1</v>
      </c>
      <c r="F28" s="11">
        <f t="shared" si="2"/>
        <v>1248000000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624</v>
      </c>
      <c r="E29" s="11">
        <f t="shared" si="1"/>
        <v>0</v>
      </c>
      <c r="F29" s="11">
        <f t="shared" si="2"/>
        <v>-4368499200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623</v>
      </c>
      <c r="E30" s="11">
        <f t="shared" si="1"/>
        <v>0</v>
      </c>
      <c r="F30" s="11">
        <f t="shared" si="2"/>
        <v>-1869560700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622</v>
      </c>
      <c r="E31" s="11">
        <f t="shared" si="1"/>
        <v>0</v>
      </c>
      <c r="F31" s="11">
        <f t="shared" si="2"/>
        <v>-1054849800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619</v>
      </c>
      <c r="E32" s="11">
        <f t="shared" si="1"/>
        <v>1</v>
      </c>
      <c r="F32" s="11">
        <f t="shared" si="2"/>
        <v>614477400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613</v>
      </c>
      <c r="E33" s="11">
        <f t="shared" si="1"/>
        <v>1</v>
      </c>
      <c r="F33" s="11">
        <f t="shared" si="2"/>
        <v>21475692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612</v>
      </c>
      <c r="E34" s="11">
        <f t="shared" si="1"/>
        <v>0</v>
      </c>
      <c r="F34" s="11">
        <f t="shared" si="2"/>
        <v>-520200000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604</v>
      </c>
      <c r="E35" s="11">
        <f t="shared" si="1"/>
        <v>0</v>
      </c>
      <c r="F35" s="11">
        <f t="shared" si="2"/>
        <v>-115062000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603</v>
      </c>
      <c r="E36" s="11">
        <f t="shared" si="1"/>
        <v>1</v>
      </c>
      <c r="F36" s="11">
        <f t="shared" si="2"/>
        <v>120400000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603</v>
      </c>
      <c r="E37" s="11">
        <f t="shared" si="1"/>
        <v>0</v>
      </c>
      <c r="F37" s="11">
        <f t="shared" si="2"/>
        <v>-120600000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581</v>
      </c>
      <c r="E38" s="11">
        <f t="shared" si="1"/>
        <v>1</v>
      </c>
      <c r="F38" s="11">
        <f t="shared" si="2"/>
        <v>174467480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580</v>
      </c>
      <c r="E39" s="11">
        <f t="shared" si="1"/>
        <v>0</v>
      </c>
      <c r="F39" s="11">
        <f t="shared" si="2"/>
        <v>-55100000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580</v>
      </c>
      <c r="E40" s="11">
        <f t="shared" si="1"/>
        <v>0</v>
      </c>
      <c r="F40" s="11">
        <f t="shared" si="2"/>
        <v>-51099740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575</v>
      </c>
      <c r="E41" s="11">
        <f t="shared" si="1"/>
        <v>0</v>
      </c>
      <c r="F41" s="11">
        <f t="shared" si="2"/>
        <v>-69000000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553</v>
      </c>
      <c r="E42" s="11">
        <f t="shared" si="1"/>
        <v>1</v>
      </c>
      <c r="F42" s="11">
        <f t="shared" si="2"/>
        <v>552112608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549</v>
      </c>
      <c r="E43" s="11">
        <f t="shared" si="1"/>
        <v>0</v>
      </c>
      <c r="F43" s="11">
        <f t="shared" si="2"/>
        <v>-43920000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545</v>
      </c>
      <c r="E44" s="11">
        <f t="shared" si="1"/>
        <v>0</v>
      </c>
      <c r="F44" s="11">
        <f t="shared" si="2"/>
        <v>-115010805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544</v>
      </c>
      <c r="E45" s="11">
        <f t="shared" si="1"/>
        <v>0</v>
      </c>
      <c r="F45" s="11">
        <f t="shared" si="2"/>
        <v>-108800000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543</v>
      </c>
      <c r="E46" s="11">
        <f t="shared" si="1"/>
        <v>0</v>
      </c>
      <c r="F46" s="11">
        <f t="shared" si="2"/>
        <v>-51585000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541</v>
      </c>
      <c r="E47" s="11">
        <f t="shared" si="1"/>
        <v>0</v>
      </c>
      <c r="F47" s="11">
        <f t="shared" si="2"/>
        <v>-24345000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541</v>
      </c>
      <c r="E48" s="11">
        <f t="shared" si="1"/>
        <v>0</v>
      </c>
      <c r="F48" s="11">
        <f t="shared" si="2"/>
        <v>-34721380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538</v>
      </c>
      <c r="E49" s="11">
        <f t="shared" si="1"/>
        <v>0</v>
      </c>
      <c r="F49" s="11">
        <f t="shared" si="2"/>
        <v>-14786392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537</v>
      </c>
      <c r="E50" s="11">
        <f t="shared" si="1"/>
        <v>0</v>
      </c>
      <c r="F50" s="11">
        <f t="shared" si="2"/>
        <v>-75717000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537</v>
      </c>
      <c r="E51" s="11">
        <f t="shared" si="1"/>
        <v>0</v>
      </c>
      <c r="F51" s="11">
        <f t="shared" si="2"/>
        <v>-14362602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536</v>
      </c>
      <c r="E52" s="11">
        <f t="shared" si="1"/>
        <v>0</v>
      </c>
      <c r="F52" s="11">
        <f t="shared" si="2"/>
        <v>-28568800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535</v>
      </c>
      <c r="E53" s="11">
        <f t="shared" si="1"/>
        <v>1</v>
      </c>
      <c r="F53" s="11">
        <f t="shared" si="2"/>
        <v>534000000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529</v>
      </c>
      <c r="E54" s="11">
        <f t="shared" si="1"/>
        <v>0</v>
      </c>
      <c r="F54" s="11">
        <f t="shared" si="2"/>
        <v>-11109000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528</v>
      </c>
      <c r="E55" s="11">
        <f t="shared" si="1"/>
        <v>0</v>
      </c>
      <c r="F55" s="11">
        <f t="shared" si="2"/>
        <v>-517704000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528</v>
      </c>
      <c r="E56" s="11">
        <f t="shared" si="1"/>
        <v>0</v>
      </c>
      <c r="F56" s="11">
        <f t="shared" si="2"/>
        <v>-23760000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515</v>
      </c>
      <c r="E57" s="11">
        <f t="shared" si="1"/>
        <v>1</v>
      </c>
      <c r="F57" s="11">
        <f t="shared" si="2"/>
        <v>1544667146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515</v>
      </c>
      <c r="E58" s="11">
        <f t="shared" si="1"/>
        <v>1</v>
      </c>
      <c r="F58" s="11">
        <f t="shared" si="2"/>
        <v>1028000000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514</v>
      </c>
      <c r="E59" s="11">
        <f t="shared" si="1"/>
        <v>1</v>
      </c>
      <c r="F59" s="11">
        <f t="shared" si="2"/>
        <v>1026000000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514</v>
      </c>
      <c r="E60" s="11">
        <f t="shared" si="1"/>
        <v>0</v>
      </c>
      <c r="F60" s="11">
        <f t="shared" si="2"/>
        <v>-3598771000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490</v>
      </c>
      <c r="E61" s="11">
        <f t="shared" si="1"/>
        <v>1</v>
      </c>
      <c r="F61" s="11">
        <f t="shared" si="2"/>
        <v>1467000000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489</v>
      </c>
      <c r="E62" s="11">
        <f t="shared" si="1"/>
        <v>0</v>
      </c>
      <c r="F62" s="11">
        <f t="shared" si="2"/>
        <v>-13256301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489</v>
      </c>
      <c r="E63" s="11">
        <f t="shared" si="1"/>
        <v>0</v>
      </c>
      <c r="F63" s="11">
        <f t="shared" si="2"/>
        <v>-16131621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489</v>
      </c>
      <c r="E64" s="11">
        <f t="shared" si="1"/>
        <v>1</v>
      </c>
      <c r="F64" s="11">
        <f t="shared" si="2"/>
        <v>1464000000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489</v>
      </c>
      <c r="E65" s="11">
        <f t="shared" si="1"/>
        <v>1</v>
      </c>
      <c r="F65" s="11">
        <f t="shared" si="2"/>
        <v>1449360000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489</v>
      </c>
      <c r="E66" s="11">
        <f t="shared" si="1"/>
        <v>1</v>
      </c>
      <c r="F66" s="11">
        <f t="shared" si="2"/>
        <v>488000000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489</v>
      </c>
      <c r="E67" s="11">
        <f t="shared" ref="E67:E130" si="4">IF(B67&gt;0,1,0)</f>
        <v>1</v>
      </c>
      <c r="F67" s="11">
        <f t="shared" ref="F67:F200" si="5">B67*(D67-E67)</f>
        <v>14640000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488</v>
      </c>
      <c r="E68" s="11">
        <f t="shared" si="4"/>
        <v>1</v>
      </c>
      <c r="F68" s="11">
        <f t="shared" si="5"/>
        <v>14610000000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487</v>
      </c>
      <c r="E69" s="11">
        <f t="shared" si="4"/>
        <v>0</v>
      </c>
      <c r="F69" s="11">
        <f t="shared" si="5"/>
        <v>-97400000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487</v>
      </c>
      <c r="E70" s="11">
        <f t="shared" si="4"/>
        <v>1</v>
      </c>
      <c r="F70" s="11">
        <f t="shared" si="5"/>
        <v>680400000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487</v>
      </c>
      <c r="E71" s="11">
        <f t="shared" si="4"/>
        <v>1</v>
      </c>
      <c r="F71" s="11">
        <f t="shared" si="5"/>
        <v>1263600000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487</v>
      </c>
      <c r="E72" s="11">
        <f t="shared" si="4"/>
        <v>0</v>
      </c>
      <c r="F72" s="11">
        <f t="shared" si="5"/>
        <v>-487000000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485</v>
      </c>
      <c r="E73" s="11">
        <f t="shared" si="4"/>
        <v>1</v>
      </c>
      <c r="F73" s="11">
        <f t="shared" si="5"/>
        <v>7260000000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480</v>
      </c>
      <c r="E74" s="11">
        <f t="shared" si="4"/>
        <v>0</v>
      </c>
      <c r="F74" s="11">
        <f t="shared" si="5"/>
        <v>-7202016000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478</v>
      </c>
      <c r="E75" s="11">
        <f t="shared" si="4"/>
        <v>0</v>
      </c>
      <c r="F75" s="11">
        <f t="shared" si="5"/>
        <v>-1434000000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478</v>
      </c>
      <c r="E76" s="11">
        <f t="shared" si="4"/>
        <v>0</v>
      </c>
      <c r="F76" s="11">
        <f t="shared" si="5"/>
        <v>-95600000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478</v>
      </c>
      <c r="E77" s="11">
        <f t="shared" si="4"/>
        <v>0</v>
      </c>
      <c r="F77" s="11">
        <f t="shared" si="5"/>
        <v>-5737434000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474</v>
      </c>
      <c r="E78" s="11">
        <f t="shared" si="4"/>
        <v>0</v>
      </c>
      <c r="F78" s="11">
        <f t="shared" si="5"/>
        <v>-1422426600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469</v>
      </c>
      <c r="E79" s="11">
        <f t="shared" si="4"/>
        <v>1</v>
      </c>
      <c r="F79" s="11">
        <f t="shared" si="5"/>
        <v>10764000000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464</v>
      </c>
      <c r="E80" s="11">
        <f t="shared" si="4"/>
        <v>0</v>
      </c>
      <c r="F80" s="11">
        <f t="shared" si="5"/>
        <v>-278632000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464</v>
      </c>
      <c r="E81" s="11">
        <f t="shared" si="4"/>
        <v>0</v>
      </c>
      <c r="F81" s="11">
        <f t="shared" si="5"/>
        <v>-92800000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463</v>
      </c>
      <c r="E82" s="11">
        <f t="shared" si="4"/>
        <v>1</v>
      </c>
      <c r="F82" s="11">
        <f t="shared" si="5"/>
        <v>130848102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463</v>
      </c>
      <c r="E83" s="11">
        <f t="shared" si="4"/>
        <v>0</v>
      </c>
      <c r="F83" s="11">
        <f t="shared" si="5"/>
        <v>-92600000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461</v>
      </c>
      <c r="E84" s="11">
        <f t="shared" si="4"/>
        <v>1</v>
      </c>
      <c r="F84" s="11">
        <f t="shared" si="5"/>
        <v>920000000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458</v>
      </c>
      <c r="E85" s="11">
        <f t="shared" si="4"/>
        <v>0</v>
      </c>
      <c r="F85" s="11">
        <f t="shared" si="5"/>
        <v>-91600000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452</v>
      </c>
      <c r="E86" s="11">
        <f t="shared" si="4"/>
        <v>0</v>
      </c>
      <c r="F86" s="11">
        <f t="shared" si="5"/>
        <v>-90400000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450</v>
      </c>
      <c r="E87" s="11">
        <f t="shared" si="4"/>
        <v>0</v>
      </c>
      <c r="F87" s="11">
        <f t="shared" si="5"/>
        <v>-596250000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435</v>
      </c>
      <c r="E88" s="11">
        <f t="shared" si="4"/>
        <v>0</v>
      </c>
      <c r="F88" s="11">
        <f t="shared" si="5"/>
        <v>-217500000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435</v>
      </c>
      <c r="E89" s="11">
        <f t="shared" si="4"/>
        <v>0</v>
      </c>
      <c r="F89" s="11">
        <f t="shared" si="5"/>
        <v>-52200000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433</v>
      </c>
      <c r="E90" s="11">
        <f t="shared" si="4"/>
        <v>1</v>
      </c>
      <c r="F90" s="11">
        <f t="shared" si="5"/>
        <v>184984560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430</v>
      </c>
      <c r="E91" s="11">
        <f t="shared" si="4"/>
        <v>0</v>
      </c>
      <c r="F91" s="11">
        <f t="shared" si="5"/>
        <v>-1290860000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428</v>
      </c>
      <c r="E92" s="11">
        <f t="shared" si="4"/>
        <v>0</v>
      </c>
      <c r="F92" s="11">
        <f t="shared" si="5"/>
        <v>-87740000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428</v>
      </c>
      <c r="E93" s="11">
        <f t="shared" si="4"/>
        <v>0</v>
      </c>
      <c r="F93" s="11">
        <f t="shared" si="5"/>
        <v>-150014000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417</v>
      </c>
      <c r="E94" s="11">
        <f t="shared" si="4"/>
        <v>1</v>
      </c>
      <c r="F94" s="11">
        <f t="shared" si="5"/>
        <v>416000000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412</v>
      </c>
      <c r="E95" s="11">
        <f t="shared" si="4"/>
        <v>1</v>
      </c>
      <c r="F95" s="11">
        <f t="shared" si="5"/>
        <v>3699000000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410</v>
      </c>
      <c r="E96" s="11">
        <f t="shared" si="4"/>
        <v>0</v>
      </c>
      <c r="F96" s="11">
        <f t="shared" si="5"/>
        <v>-10660000000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410</v>
      </c>
      <c r="E97" s="11">
        <f t="shared" si="4"/>
        <v>0</v>
      </c>
      <c r="F97" s="11">
        <f t="shared" si="5"/>
        <v>-10660000000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410</v>
      </c>
      <c r="E98" s="11">
        <f t="shared" si="4"/>
        <v>1</v>
      </c>
      <c r="F98" s="11">
        <f t="shared" si="5"/>
        <v>10634000000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410</v>
      </c>
      <c r="E99" s="11">
        <f t="shared" si="4"/>
        <v>0</v>
      </c>
      <c r="F99" s="11">
        <f t="shared" si="5"/>
        <v>-82000000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408</v>
      </c>
      <c r="E100" s="11">
        <f t="shared" si="4"/>
        <v>1</v>
      </c>
      <c r="F100" s="11">
        <f t="shared" si="5"/>
        <v>11884400000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403</v>
      </c>
      <c r="E101" s="11">
        <f t="shared" si="4"/>
        <v>1</v>
      </c>
      <c r="F101" s="11">
        <f t="shared" si="5"/>
        <v>160777890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402</v>
      </c>
      <c r="E102" s="11">
        <f t="shared" si="4"/>
        <v>1</v>
      </c>
      <c r="F102" s="11">
        <f t="shared" si="5"/>
        <v>802000000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401</v>
      </c>
      <c r="E103" s="11">
        <f t="shared" si="4"/>
        <v>1</v>
      </c>
      <c r="F103" s="11">
        <f t="shared" si="5"/>
        <v>3000000000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401</v>
      </c>
      <c r="E104" s="11">
        <f t="shared" si="4"/>
        <v>0</v>
      </c>
      <c r="F104" s="11">
        <f t="shared" si="5"/>
        <v>-26466000000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401</v>
      </c>
      <c r="E105" s="11">
        <f t="shared" si="4"/>
        <v>0</v>
      </c>
      <c r="F105" s="11">
        <f t="shared" si="5"/>
        <v>-58145000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399</v>
      </c>
      <c r="E106" s="11">
        <f t="shared" si="4"/>
        <v>1</v>
      </c>
      <c r="F106" s="11">
        <f t="shared" si="5"/>
        <v>2388000000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397</v>
      </c>
      <c r="E107" s="11">
        <f t="shared" si="4"/>
        <v>0</v>
      </c>
      <c r="F107" s="11">
        <f t="shared" si="5"/>
        <v>-2384342300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394</v>
      </c>
      <c r="E108" s="11">
        <f t="shared" si="4"/>
        <v>1</v>
      </c>
      <c r="F108" s="11">
        <f t="shared" si="5"/>
        <v>2358000000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382</v>
      </c>
      <c r="E109" s="11">
        <f t="shared" si="4"/>
        <v>0</v>
      </c>
      <c r="F109" s="11">
        <f t="shared" si="5"/>
        <v>-45840000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381</v>
      </c>
      <c r="E110" s="11">
        <f t="shared" si="4"/>
        <v>1</v>
      </c>
      <c r="F110" s="11">
        <f t="shared" si="5"/>
        <v>1520000000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380</v>
      </c>
      <c r="E111" s="11">
        <f t="shared" si="4"/>
        <v>1</v>
      </c>
      <c r="F111" s="11">
        <f t="shared" si="5"/>
        <v>1061200000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376</v>
      </c>
      <c r="E112" s="11">
        <f t="shared" si="4"/>
        <v>0</v>
      </c>
      <c r="F112" s="11">
        <f t="shared" si="5"/>
        <v>-75200000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375</v>
      </c>
      <c r="E113" s="11">
        <f t="shared" si="4"/>
        <v>1</v>
      </c>
      <c r="F113" s="11">
        <f t="shared" si="5"/>
        <v>27043940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358</v>
      </c>
      <c r="E114" s="11">
        <f t="shared" si="4"/>
        <v>0</v>
      </c>
      <c r="F114" s="11">
        <f t="shared" si="5"/>
        <v>-71600000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357</v>
      </c>
      <c r="E115" s="11">
        <f t="shared" si="4"/>
        <v>0</v>
      </c>
      <c r="F115" s="23">
        <f t="shared" si="5"/>
        <v>-3927000000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357</v>
      </c>
      <c r="E116" s="11">
        <f t="shared" si="4"/>
        <v>0</v>
      </c>
      <c r="F116" s="11">
        <f t="shared" si="5"/>
        <v>-71400000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355</v>
      </c>
      <c r="E117" s="11">
        <f t="shared" si="4"/>
        <v>0</v>
      </c>
      <c r="F117" s="11">
        <f t="shared" si="5"/>
        <v>-159927500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355</v>
      </c>
      <c r="E118" s="11">
        <f t="shared" si="4"/>
        <v>0</v>
      </c>
      <c r="F118" s="11">
        <f t="shared" si="5"/>
        <v>-71000000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349</v>
      </c>
      <c r="E119" s="11">
        <f t="shared" si="4"/>
        <v>0</v>
      </c>
      <c r="F119" s="11">
        <f t="shared" si="5"/>
        <v>-53937950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349</v>
      </c>
      <c r="E120" s="11">
        <f t="shared" si="4"/>
        <v>0</v>
      </c>
      <c r="F120" s="11">
        <f t="shared" si="5"/>
        <v>-111680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348</v>
      </c>
      <c r="E121" s="11">
        <f t="shared" si="4"/>
        <v>0</v>
      </c>
      <c r="F121" s="11">
        <f t="shared" si="5"/>
        <v>-150336000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342</v>
      </c>
      <c r="E122" s="11">
        <f t="shared" si="4"/>
        <v>1</v>
      </c>
      <c r="F122" s="11">
        <f t="shared" si="5"/>
        <v>25248663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321</v>
      </c>
      <c r="E123" s="11">
        <f t="shared" si="4"/>
        <v>0</v>
      </c>
      <c r="F123" s="11">
        <f t="shared" si="5"/>
        <v>-16692000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280</v>
      </c>
      <c r="E124" s="11">
        <f t="shared" si="4"/>
        <v>1</v>
      </c>
      <c r="F124" s="11">
        <f t="shared" si="5"/>
        <v>331173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279</v>
      </c>
      <c r="E125" s="11">
        <f t="shared" si="4"/>
        <v>1</v>
      </c>
      <c r="F125" s="11">
        <f t="shared" si="5"/>
        <v>667200000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277</v>
      </c>
      <c r="E126" s="11">
        <f t="shared" si="4"/>
        <v>1</v>
      </c>
      <c r="F126" s="11">
        <f t="shared" si="5"/>
        <v>370612800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277</v>
      </c>
      <c r="E127" s="11">
        <f t="shared" si="4"/>
        <v>1</v>
      </c>
      <c r="F127" s="11">
        <f t="shared" si="5"/>
        <v>370612800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265</v>
      </c>
      <c r="E128" s="11">
        <f t="shared" si="4"/>
        <v>0</v>
      </c>
      <c r="F128" s="11">
        <f t="shared" si="5"/>
        <v>-53000000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263</v>
      </c>
      <c r="E129" s="11">
        <f t="shared" si="4"/>
        <v>0</v>
      </c>
      <c r="F129" s="11">
        <f>B129*(D129-E129)</f>
        <v>-4107534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262</v>
      </c>
      <c r="E130" s="11">
        <f t="shared" si="4"/>
        <v>0</v>
      </c>
      <c r="F130" s="11">
        <f t="shared" si="5"/>
        <v>-52400000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261</v>
      </c>
      <c r="E131" s="11">
        <f t="shared" ref="E131:E201" si="7">IF(B131&gt;0,1,0)</f>
        <v>0</v>
      </c>
      <c r="F131" s="11">
        <f t="shared" si="5"/>
        <v>-52200000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260</v>
      </c>
      <c r="E132" s="11">
        <f t="shared" si="7"/>
        <v>0</v>
      </c>
      <c r="F132" s="11">
        <f t="shared" si="5"/>
        <v>-101400000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260</v>
      </c>
      <c r="E133" s="11">
        <f t="shared" si="7"/>
        <v>0</v>
      </c>
      <c r="F133" s="11">
        <f t="shared" si="5"/>
        <v>-6370000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259</v>
      </c>
      <c r="E134" s="11">
        <f t="shared" si="7"/>
        <v>0</v>
      </c>
      <c r="F134" s="11">
        <f t="shared" si="5"/>
        <v>-24605000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255</v>
      </c>
      <c r="E135" s="11">
        <f t="shared" si="7"/>
        <v>0</v>
      </c>
      <c r="F135" s="11">
        <f t="shared" si="5"/>
        <v>-51000000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253</v>
      </c>
      <c r="E136" s="11">
        <f t="shared" si="7"/>
        <v>1</v>
      </c>
      <c r="F136" s="11">
        <f t="shared" si="5"/>
        <v>12600000000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252</v>
      </c>
      <c r="E137" s="11">
        <f t="shared" si="7"/>
        <v>1</v>
      </c>
      <c r="F137" s="11">
        <f t="shared" si="5"/>
        <v>3012000000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250</v>
      </c>
      <c r="E138" s="11">
        <f t="shared" si="7"/>
        <v>1</v>
      </c>
      <c r="F138" s="11">
        <f t="shared" si="5"/>
        <v>498000000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249</v>
      </c>
      <c r="E139" s="11">
        <f t="shared" si="7"/>
        <v>1</v>
      </c>
      <c r="F139" s="11">
        <f t="shared" si="5"/>
        <v>21709424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236</v>
      </c>
      <c r="E140" s="11">
        <f t="shared" si="7"/>
        <v>0</v>
      </c>
      <c r="F140" s="11">
        <f t="shared" si="5"/>
        <v>-708212400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235</v>
      </c>
      <c r="E141" s="11">
        <f t="shared" si="7"/>
        <v>0</v>
      </c>
      <c r="F141" s="11">
        <f t="shared" si="5"/>
        <v>-705211500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218</v>
      </c>
      <c r="E142" s="11">
        <f t="shared" si="7"/>
        <v>1</v>
      </c>
      <c r="F142" s="11">
        <f t="shared" si="5"/>
        <v>130639425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218</v>
      </c>
      <c r="E143" s="11">
        <f t="shared" si="7"/>
        <v>0</v>
      </c>
      <c r="F143" s="11">
        <f t="shared" si="5"/>
        <v>-10028000000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187</v>
      </c>
      <c r="E144" s="11">
        <f t="shared" si="7"/>
        <v>1</v>
      </c>
      <c r="F144" s="11">
        <f t="shared" si="5"/>
        <v>28663902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186</v>
      </c>
      <c r="E145" s="11">
        <f t="shared" si="7"/>
        <v>1</v>
      </c>
      <c r="F145" s="11">
        <f t="shared" si="5"/>
        <v>555000000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183</v>
      </c>
      <c r="E146" s="11">
        <f t="shared" si="7"/>
        <v>0</v>
      </c>
      <c r="F146" s="11">
        <f t="shared" si="5"/>
        <v>-36600000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178</v>
      </c>
      <c r="E147" s="11">
        <f t="shared" si="7"/>
        <v>0</v>
      </c>
      <c r="F147" s="11">
        <f t="shared" si="5"/>
        <v>-35600000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177</v>
      </c>
      <c r="E148" s="11">
        <f t="shared" si="7"/>
        <v>0</v>
      </c>
      <c r="F148" s="11">
        <f t="shared" si="5"/>
        <v>-35400000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173</v>
      </c>
      <c r="E149" s="11">
        <f t="shared" si="7"/>
        <v>0</v>
      </c>
      <c r="F149" s="11">
        <f t="shared" si="5"/>
        <v>-34600000</v>
      </c>
      <c r="G149" s="11" t="s">
        <v>158</v>
      </c>
    </row>
    <row r="150" spans="1:11" x14ac:dyDescent="0.25">
      <c r="A150" s="11" t="s">
        <v>712</v>
      </c>
      <c r="B150" s="3">
        <v>24073400</v>
      </c>
      <c r="C150" s="11">
        <v>2</v>
      </c>
      <c r="D150" s="11">
        <f t="shared" si="6"/>
        <v>172</v>
      </c>
      <c r="E150" s="11">
        <f t="shared" si="7"/>
        <v>1</v>
      </c>
      <c r="F150" s="11">
        <f t="shared" si="5"/>
        <v>4116551400</v>
      </c>
      <c r="G150" s="11" t="s">
        <v>713</v>
      </c>
    </row>
    <row r="151" spans="1:11" x14ac:dyDescent="0.25">
      <c r="A151" s="11" t="s">
        <v>722</v>
      </c>
      <c r="B151" s="3">
        <v>-200000</v>
      </c>
      <c r="C151" s="11">
        <v>6</v>
      </c>
      <c r="D151" s="11">
        <f t="shared" si="6"/>
        <v>170</v>
      </c>
      <c r="E151" s="11">
        <f t="shared" si="7"/>
        <v>0</v>
      </c>
      <c r="F151" s="11">
        <f t="shared" si="5"/>
        <v>-34000000</v>
      </c>
      <c r="G151" s="11" t="s">
        <v>158</v>
      </c>
    </row>
    <row r="152" spans="1:11" x14ac:dyDescent="0.25">
      <c r="A152" s="11" t="s">
        <v>724</v>
      </c>
      <c r="B152" s="3">
        <v>-30000000</v>
      </c>
      <c r="C152" s="11">
        <v>1</v>
      </c>
      <c r="D152" s="11">
        <f t="shared" si="6"/>
        <v>164</v>
      </c>
      <c r="E152" s="11">
        <f t="shared" si="7"/>
        <v>0</v>
      </c>
      <c r="F152" s="11">
        <f t="shared" si="5"/>
        <v>-4920000000</v>
      </c>
      <c r="G152" s="11" t="s">
        <v>725</v>
      </c>
    </row>
    <row r="153" spans="1:11" x14ac:dyDescent="0.25">
      <c r="A153" s="11" t="s">
        <v>732</v>
      </c>
      <c r="B153" s="3">
        <v>-52000</v>
      </c>
      <c r="C153" s="11">
        <v>0</v>
      </c>
      <c r="D153" s="11">
        <f t="shared" si="6"/>
        <v>163</v>
      </c>
      <c r="E153" s="11">
        <f t="shared" si="7"/>
        <v>0</v>
      </c>
      <c r="F153" s="11">
        <f t="shared" si="5"/>
        <v>-8476000</v>
      </c>
      <c r="G153" s="11" t="s">
        <v>733</v>
      </c>
    </row>
    <row r="154" spans="1:11" x14ac:dyDescent="0.25">
      <c r="A154" s="11" t="s">
        <v>732</v>
      </c>
      <c r="B154" s="3">
        <v>-136000</v>
      </c>
      <c r="C154" s="11">
        <v>5</v>
      </c>
      <c r="D154" s="11">
        <f t="shared" si="6"/>
        <v>163</v>
      </c>
      <c r="E154" s="11">
        <f t="shared" si="7"/>
        <v>0</v>
      </c>
      <c r="F154" s="11">
        <f t="shared" si="5"/>
        <v>-22168000</v>
      </c>
      <c r="G154" s="11" t="s">
        <v>734</v>
      </c>
    </row>
    <row r="155" spans="1:11" x14ac:dyDescent="0.25">
      <c r="A155" s="11" t="s">
        <v>737</v>
      </c>
      <c r="B155" s="3">
        <v>3000000</v>
      </c>
      <c r="C155" s="11">
        <v>1</v>
      </c>
      <c r="D155" s="11">
        <f t="shared" si="6"/>
        <v>158</v>
      </c>
      <c r="E155" s="11">
        <f t="shared" si="7"/>
        <v>1</v>
      </c>
      <c r="F155" s="11">
        <f t="shared" si="5"/>
        <v>471000000</v>
      </c>
      <c r="G155" s="11" t="s">
        <v>738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157</v>
      </c>
      <c r="E156" s="11">
        <f t="shared" si="7"/>
        <v>1</v>
      </c>
      <c r="F156" s="11">
        <f t="shared" si="5"/>
        <v>29500068</v>
      </c>
      <c r="G156" s="11" t="s">
        <v>739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157</v>
      </c>
      <c r="E157" s="11">
        <f t="shared" si="7"/>
        <v>1</v>
      </c>
      <c r="F157" s="11">
        <f t="shared" si="5"/>
        <v>3779521200</v>
      </c>
      <c r="G157" s="11" t="s">
        <v>740</v>
      </c>
    </row>
    <row r="158" spans="1:11" x14ac:dyDescent="0.25">
      <c r="A158" s="11" t="s">
        <v>760</v>
      </c>
      <c r="B158" s="3">
        <v>24295200</v>
      </c>
      <c r="C158" s="11">
        <v>0</v>
      </c>
      <c r="D158" s="11">
        <f t="shared" si="6"/>
        <v>149</v>
      </c>
      <c r="E158" s="11">
        <f t="shared" si="7"/>
        <v>1</v>
      </c>
      <c r="F158" s="11">
        <f t="shared" si="5"/>
        <v>3595689600</v>
      </c>
      <c r="G158" s="11" t="s">
        <v>754</v>
      </c>
    </row>
    <row r="159" spans="1:11" x14ac:dyDescent="0.25">
      <c r="A159" s="11" t="s">
        <v>760</v>
      </c>
      <c r="B159" s="3">
        <v>-201000</v>
      </c>
      <c r="C159" s="11">
        <v>5</v>
      </c>
      <c r="D159" s="11">
        <f t="shared" si="6"/>
        <v>149</v>
      </c>
      <c r="E159" s="11">
        <f t="shared" si="7"/>
        <v>0</v>
      </c>
      <c r="F159" s="11">
        <f t="shared" si="5"/>
        <v>-29949000</v>
      </c>
      <c r="G159" s="11" t="s">
        <v>767</v>
      </c>
    </row>
    <row r="160" spans="1:11" x14ac:dyDescent="0.25">
      <c r="A160" s="11" t="s">
        <v>768</v>
      </c>
      <c r="B160" s="3">
        <v>-200000</v>
      </c>
      <c r="C160" s="11">
        <v>3</v>
      </c>
      <c r="D160" s="11">
        <f t="shared" si="6"/>
        <v>144</v>
      </c>
      <c r="E160" s="11">
        <f t="shared" si="7"/>
        <v>0</v>
      </c>
      <c r="F160" s="11">
        <f t="shared" si="5"/>
        <v>-28800000</v>
      </c>
      <c r="G160" s="11" t="s">
        <v>769</v>
      </c>
    </row>
    <row r="161" spans="1:7" x14ac:dyDescent="0.25">
      <c r="A161" s="11" t="s">
        <v>775</v>
      </c>
      <c r="B161" s="3">
        <v>-200000</v>
      </c>
      <c r="C161" s="11">
        <v>4</v>
      </c>
      <c r="D161" s="11">
        <f t="shared" si="6"/>
        <v>141</v>
      </c>
      <c r="E161" s="11">
        <f t="shared" si="7"/>
        <v>0</v>
      </c>
      <c r="F161" s="11">
        <f t="shared" si="5"/>
        <v>-28200000</v>
      </c>
      <c r="G161" s="11" t="s">
        <v>769</v>
      </c>
    </row>
    <row r="162" spans="1:7" x14ac:dyDescent="0.25">
      <c r="A162" s="11" t="s">
        <v>777</v>
      </c>
      <c r="B162" s="3">
        <v>-200000</v>
      </c>
      <c r="C162" s="11">
        <v>3</v>
      </c>
      <c r="D162" s="11">
        <f t="shared" si="6"/>
        <v>137</v>
      </c>
      <c r="E162" s="11">
        <f t="shared" si="7"/>
        <v>0</v>
      </c>
      <c r="F162" s="11">
        <f t="shared" si="5"/>
        <v>-27400000</v>
      </c>
      <c r="G162" s="11" t="s">
        <v>769</v>
      </c>
    </row>
    <row r="163" spans="1:7" x14ac:dyDescent="0.25">
      <c r="A163" s="11" t="s">
        <v>778</v>
      </c>
      <c r="B163" s="3">
        <v>-200000</v>
      </c>
      <c r="C163" s="11">
        <v>7</v>
      </c>
      <c r="D163" s="11">
        <f t="shared" si="6"/>
        <v>134</v>
      </c>
      <c r="E163" s="11">
        <f t="shared" si="7"/>
        <v>0</v>
      </c>
      <c r="F163" s="11">
        <f t="shared" si="5"/>
        <v>-26800000</v>
      </c>
      <c r="G163" s="11" t="s">
        <v>769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127</v>
      </c>
      <c r="E164" s="11">
        <f t="shared" si="7"/>
        <v>1</v>
      </c>
      <c r="F164" s="11">
        <f t="shared" si="5"/>
        <v>57666924</v>
      </c>
      <c r="G164" s="11" t="s">
        <v>782</v>
      </c>
    </row>
    <row r="165" spans="1:7" x14ac:dyDescent="0.25">
      <c r="A165" s="11" t="s">
        <v>787</v>
      </c>
      <c r="B165" s="3">
        <v>2700000</v>
      </c>
      <c r="C165" s="11">
        <v>0</v>
      </c>
      <c r="D165" s="11">
        <f t="shared" si="6"/>
        <v>124</v>
      </c>
      <c r="E165" s="11">
        <f t="shared" si="7"/>
        <v>1</v>
      </c>
      <c r="F165" s="11">
        <f t="shared" si="5"/>
        <v>332100000</v>
      </c>
      <c r="G165" s="11" t="s">
        <v>788</v>
      </c>
    </row>
    <row r="166" spans="1:7" x14ac:dyDescent="0.25">
      <c r="A166" s="11" t="s">
        <v>787</v>
      </c>
      <c r="B166" s="3">
        <v>2500000</v>
      </c>
      <c r="C166" s="11">
        <v>7</v>
      </c>
      <c r="D166" s="11">
        <f t="shared" si="6"/>
        <v>124</v>
      </c>
      <c r="E166" s="11">
        <f t="shared" si="7"/>
        <v>1</v>
      </c>
      <c r="F166" s="11">
        <f t="shared" si="5"/>
        <v>307500000</v>
      </c>
      <c r="G166" s="11" t="s">
        <v>789</v>
      </c>
    </row>
    <row r="167" spans="1:7" x14ac:dyDescent="0.25">
      <c r="A167" s="11" t="s">
        <v>802</v>
      </c>
      <c r="B167" s="3">
        <v>-200000</v>
      </c>
      <c r="C167" s="11">
        <v>2</v>
      </c>
      <c r="D167" s="11">
        <f t="shared" si="6"/>
        <v>117</v>
      </c>
      <c r="E167" s="11">
        <f t="shared" si="7"/>
        <v>0</v>
      </c>
      <c r="F167" s="11">
        <f t="shared" si="5"/>
        <v>-23400000</v>
      </c>
      <c r="G167" s="11" t="s">
        <v>502</v>
      </c>
    </row>
    <row r="168" spans="1:7" x14ac:dyDescent="0.25">
      <c r="A168" s="11" t="s">
        <v>804</v>
      </c>
      <c r="B168" s="3">
        <v>-200000</v>
      </c>
      <c r="C168" s="11">
        <v>6</v>
      </c>
      <c r="D168" s="11">
        <f t="shared" si="6"/>
        <v>115</v>
      </c>
      <c r="E168" s="11">
        <f t="shared" si="7"/>
        <v>0</v>
      </c>
      <c r="F168" s="11">
        <f t="shared" si="5"/>
        <v>-23000000</v>
      </c>
      <c r="G168" s="11" t="s">
        <v>502</v>
      </c>
    </row>
    <row r="169" spans="1:7" x14ac:dyDescent="0.25">
      <c r="A169" s="11" t="s">
        <v>806</v>
      </c>
      <c r="B169" s="3">
        <v>-200000</v>
      </c>
      <c r="C169" s="11">
        <v>3</v>
      </c>
      <c r="D169" s="11">
        <f t="shared" si="6"/>
        <v>109</v>
      </c>
      <c r="E169" s="11">
        <f t="shared" si="7"/>
        <v>0</v>
      </c>
      <c r="F169" s="11">
        <f t="shared" si="5"/>
        <v>-21800000</v>
      </c>
      <c r="G169" s="11" t="s">
        <v>502</v>
      </c>
    </row>
    <row r="170" spans="1:7" x14ac:dyDescent="0.25">
      <c r="A170" s="11" t="s">
        <v>811</v>
      </c>
      <c r="B170" s="3">
        <v>-200000</v>
      </c>
      <c r="C170" s="11">
        <v>0</v>
      </c>
      <c r="D170" s="11">
        <f t="shared" si="6"/>
        <v>106</v>
      </c>
      <c r="E170" s="11">
        <f t="shared" si="7"/>
        <v>0</v>
      </c>
      <c r="F170" s="11">
        <f t="shared" si="5"/>
        <v>-21200000</v>
      </c>
      <c r="G170" s="11" t="s">
        <v>502</v>
      </c>
    </row>
    <row r="171" spans="1:7" x14ac:dyDescent="0.25">
      <c r="A171" s="11" t="s">
        <v>811</v>
      </c>
      <c r="B171" s="3">
        <v>3000000</v>
      </c>
      <c r="C171" s="11">
        <v>3</v>
      </c>
      <c r="D171" s="11">
        <f t="shared" si="6"/>
        <v>106</v>
      </c>
      <c r="E171" s="11">
        <f t="shared" si="7"/>
        <v>1</v>
      </c>
      <c r="F171" s="11">
        <f t="shared" si="5"/>
        <v>315000000</v>
      </c>
      <c r="G171" s="11" t="s">
        <v>812</v>
      </c>
    </row>
    <row r="172" spans="1:7" x14ac:dyDescent="0.25">
      <c r="A172" s="11" t="s">
        <v>814</v>
      </c>
      <c r="B172" s="3">
        <v>-200000</v>
      </c>
      <c r="C172" s="11">
        <v>1</v>
      </c>
      <c r="D172" s="11">
        <f t="shared" si="6"/>
        <v>103</v>
      </c>
      <c r="E172" s="11">
        <f t="shared" si="7"/>
        <v>0</v>
      </c>
      <c r="F172" s="11">
        <f t="shared" si="5"/>
        <v>-20600000</v>
      </c>
      <c r="G172" s="11" t="s">
        <v>158</v>
      </c>
    </row>
    <row r="173" spans="1:7" x14ac:dyDescent="0.25">
      <c r="A173" s="11" t="s">
        <v>814</v>
      </c>
      <c r="B173" s="3">
        <v>3000000</v>
      </c>
      <c r="C173" s="11">
        <v>1</v>
      </c>
      <c r="D173" s="11">
        <f t="shared" si="6"/>
        <v>102</v>
      </c>
      <c r="E173" s="11">
        <f t="shared" si="7"/>
        <v>1</v>
      </c>
      <c r="F173" s="11">
        <f t="shared" si="5"/>
        <v>303000000</v>
      </c>
      <c r="G173" s="11" t="s">
        <v>817</v>
      </c>
    </row>
    <row r="174" spans="1:7" x14ac:dyDescent="0.25">
      <c r="A174" s="11" t="s">
        <v>815</v>
      </c>
      <c r="B174" s="3">
        <v>2000000</v>
      </c>
      <c r="C174" s="11">
        <v>1</v>
      </c>
      <c r="D174" s="11">
        <f t="shared" si="6"/>
        <v>101</v>
      </c>
      <c r="E174" s="11">
        <f t="shared" si="7"/>
        <v>1</v>
      </c>
      <c r="F174" s="11">
        <f t="shared" si="5"/>
        <v>200000000</v>
      </c>
      <c r="G174" s="11" t="s">
        <v>818</v>
      </c>
    </row>
    <row r="175" spans="1:7" x14ac:dyDescent="0.25">
      <c r="A175" s="11" t="s">
        <v>815</v>
      </c>
      <c r="B175" s="3">
        <v>1300000</v>
      </c>
      <c r="C175" s="11">
        <v>2</v>
      </c>
      <c r="D175" s="11">
        <f t="shared" si="6"/>
        <v>100</v>
      </c>
      <c r="E175" s="11">
        <f t="shared" si="7"/>
        <v>1</v>
      </c>
      <c r="F175" s="11">
        <f t="shared" si="5"/>
        <v>128700000</v>
      </c>
      <c r="G175" s="11" t="s">
        <v>819</v>
      </c>
    </row>
    <row r="176" spans="1:7" x14ac:dyDescent="0.25">
      <c r="A176" s="11" t="s">
        <v>823</v>
      </c>
      <c r="B176" s="3">
        <v>-200000</v>
      </c>
      <c r="C176" s="11">
        <v>0</v>
      </c>
      <c r="D176" s="11">
        <f t="shared" si="6"/>
        <v>98</v>
      </c>
      <c r="E176" s="11">
        <f t="shared" si="7"/>
        <v>0</v>
      </c>
      <c r="F176" s="11">
        <f t="shared" si="5"/>
        <v>-19600000</v>
      </c>
      <c r="G176" s="11" t="s">
        <v>769</v>
      </c>
    </row>
    <row r="177" spans="1:7" x14ac:dyDescent="0.25">
      <c r="A177" s="11" t="s">
        <v>823</v>
      </c>
      <c r="B177" s="3">
        <v>1700000</v>
      </c>
      <c r="C177" s="11">
        <v>1</v>
      </c>
      <c r="D177" s="11">
        <f t="shared" si="6"/>
        <v>98</v>
      </c>
      <c r="E177" s="11">
        <f t="shared" si="7"/>
        <v>1</v>
      </c>
      <c r="F177" s="11">
        <f t="shared" si="5"/>
        <v>164900000</v>
      </c>
      <c r="G177" s="11" t="s">
        <v>824</v>
      </c>
    </row>
    <row r="178" spans="1:7" x14ac:dyDescent="0.25">
      <c r="A178" s="11" t="s">
        <v>825</v>
      </c>
      <c r="B178" s="3">
        <v>-200000</v>
      </c>
      <c r="C178" s="11">
        <v>1</v>
      </c>
      <c r="D178" s="11">
        <f t="shared" si="6"/>
        <v>97</v>
      </c>
      <c r="E178" s="11">
        <f t="shared" si="7"/>
        <v>0</v>
      </c>
      <c r="F178" s="11">
        <f t="shared" si="5"/>
        <v>-19400000</v>
      </c>
      <c r="G178" s="11" t="s">
        <v>502</v>
      </c>
    </row>
    <row r="179" spans="1:7" x14ac:dyDescent="0.25">
      <c r="A179" s="11" t="s">
        <v>828</v>
      </c>
      <c r="B179" s="3">
        <v>571492</v>
      </c>
      <c r="C179" s="11">
        <v>3</v>
      </c>
      <c r="D179" s="11">
        <f t="shared" si="6"/>
        <v>96</v>
      </c>
      <c r="E179" s="11">
        <f t="shared" si="7"/>
        <v>1</v>
      </c>
      <c r="F179" s="11">
        <f t="shared" si="5"/>
        <v>54291740</v>
      </c>
      <c r="G179" s="11" t="s">
        <v>242</v>
      </c>
    </row>
    <row r="180" spans="1:7" x14ac:dyDescent="0.25">
      <c r="A180" s="11" t="s">
        <v>833</v>
      </c>
      <c r="B180" s="3">
        <v>3000000</v>
      </c>
      <c r="C180" s="11">
        <v>7</v>
      </c>
      <c r="D180" s="11">
        <f t="shared" si="6"/>
        <v>93</v>
      </c>
      <c r="E180" s="11">
        <f t="shared" si="7"/>
        <v>1</v>
      </c>
      <c r="F180" s="11">
        <f t="shared" si="5"/>
        <v>276000000</v>
      </c>
      <c r="G180" s="11" t="s">
        <v>837</v>
      </c>
    </row>
    <row r="181" spans="1:7" x14ac:dyDescent="0.25">
      <c r="A181" s="11" t="s">
        <v>846</v>
      </c>
      <c r="B181" s="3">
        <v>2000000</v>
      </c>
      <c r="C181" s="11">
        <v>8</v>
      </c>
      <c r="D181" s="11">
        <f t="shared" si="6"/>
        <v>86</v>
      </c>
      <c r="E181" s="11">
        <f t="shared" si="7"/>
        <v>1</v>
      </c>
      <c r="F181" s="11">
        <f t="shared" si="5"/>
        <v>170000000</v>
      </c>
      <c r="G181" s="11" t="s">
        <v>847</v>
      </c>
    </row>
    <row r="182" spans="1:7" x14ac:dyDescent="0.25">
      <c r="A182" s="11" t="s">
        <v>859</v>
      </c>
      <c r="B182" s="3">
        <v>-2200700</v>
      </c>
      <c r="C182" s="11">
        <v>12</v>
      </c>
      <c r="D182" s="11">
        <f t="shared" si="6"/>
        <v>78</v>
      </c>
      <c r="E182" s="11">
        <f t="shared" si="7"/>
        <v>0</v>
      </c>
      <c r="F182" s="11">
        <f t="shared" si="5"/>
        <v>-171654600</v>
      </c>
      <c r="G182" s="11" t="s">
        <v>861</v>
      </c>
    </row>
    <row r="183" spans="1:7" x14ac:dyDescent="0.25">
      <c r="A183" s="11" t="s">
        <v>869</v>
      </c>
      <c r="B183" s="3">
        <v>675087</v>
      </c>
      <c r="C183" s="11">
        <v>30</v>
      </c>
      <c r="D183" s="11">
        <f t="shared" si="6"/>
        <v>66</v>
      </c>
      <c r="E183" s="11">
        <f t="shared" si="7"/>
        <v>1</v>
      </c>
      <c r="F183" s="11">
        <f t="shared" si="5"/>
        <v>43880655</v>
      </c>
      <c r="G183" s="11" t="s">
        <v>264</v>
      </c>
    </row>
    <row r="184" spans="1:7" x14ac:dyDescent="0.25">
      <c r="A184" s="11" t="s">
        <v>907</v>
      </c>
      <c r="B184" s="3">
        <v>677000</v>
      </c>
      <c r="C184" s="11">
        <v>15</v>
      </c>
      <c r="D184" s="11">
        <f>D185+C184</f>
        <v>36</v>
      </c>
      <c r="E184" s="11">
        <f t="shared" si="7"/>
        <v>1</v>
      </c>
      <c r="F184" s="11">
        <f t="shared" si="5"/>
        <v>23695000</v>
      </c>
      <c r="G184" s="11" t="s">
        <v>400</v>
      </c>
    </row>
    <row r="185" spans="1:7" x14ac:dyDescent="0.25">
      <c r="A185" s="11" t="s">
        <v>932</v>
      </c>
      <c r="B185" s="3">
        <v>-10000</v>
      </c>
      <c r="C185" s="11">
        <v>5</v>
      </c>
      <c r="D185" s="11">
        <f t="shared" si="6"/>
        <v>21</v>
      </c>
      <c r="E185" s="11">
        <f t="shared" si="7"/>
        <v>0</v>
      </c>
      <c r="F185" s="11">
        <f t="shared" si="5"/>
        <v>-210000</v>
      </c>
      <c r="G185" s="11" t="s">
        <v>938</v>
      </c>
    </row>
    <row r="186" spans="1:7" x14ac:dyDescent="0.25">
      <c r="A186" s="11" t="s">
        <v>951</v>
      </c>
      <c r="B186" s="3">
        <v>-80500000</v>
      </c>
      <c r="C186" s="11">
        <v>5</v>
      </c>
      <c r="D186" s="11">
        <f t="shared" ref="D186:D201" si="8">D187+C186</f>
        <v>16</v>
      </c>
      <c r="E186" s="11">
        <f t="shared" si="7"/>
        <v>0</v>
      </c>
      <c r="F186" s="11">
        <f t="shared" si="5"/>
        <v>-1288000000</v>
      </c>
      <c r="G186" s="11" t="s">
        <v>1055</v>
      </c>
    </row>
    <row r="187" spans="1:7" x14ac:dyDescent="0.25">
      <c r="A187" s="11" t="s">
        <v>1054</v>
      </c>
      <c r="B187" s="3">
        <v>-1100000</v>
      </c>
      <c r="C187" s="11">
        <v>0</v>
      </c>
      <c r="D187" s="11">
        <f t="shared" si="8"/>
        <v>11</v>
      </c>
      <c r="E187" s="11">
        <f t="shared" si="7"/>
        <v>0</v>
      </c>
      <c r="F187" s="11">
        <f t="shared" si="5"/>
        <v>-12100000</v>
      </c>
      <c r="G187" s="11" t="s">
        <v>1055</v>
      </c>
    </row>
    <row r="188" spans="1:7" x14ac:dyDescent="0.25">
      <c r="A188" s="11" t="s">
        <v>1054</v>
      </c>
      <c r="B188" s="3">
        <v>3000000</v>
      </c>
      <c r="C188" s="11">
        <v>1</v>
      </c>
      <c r="D188" s="11">
        <f t="shared" si="8"/>
        <v>11</v>
      </c>
      <c r="E188" s="11">
        <f t="shared" si="7"/>
        <v>1</v>
      </c>
      <c r="F188" s="11">
        <f t="shared" si="5"/>
        <v>30000000</v>
      </c>
      <c r="G188" s="11" t="s">
        <v>1066</v>
      </c>
    </row>
    <row r="189" spans="1:7" x14ac:dyDescent="0.25">
      <c r="A189" s="11" t="s">
        <v>1065</v>
      </c>
      <c r="B189" s="3">
        <v>2000000</v>
      </c>
      <c r="C189" s="11">
        <v>0</v>
      </c>
      <c r="D189" s="11">
        <f t="shared" si="8"/>
        <v>10</v>
      </c>
      <c r="E189" s="11">
        <f t="shared" si="7"/>
        <v>1</v>
      </c>
      <c r="F189" s="11">
        <f t="shared" si="5"/>
        <v>18000000</v>
      </c>
      <c r="G189" s="11" t="s">
        <v>1066</v>
      </c>
    </row>
    <row r="190" spans="1:7" x14ac:dyDescent="0.25">
      <c r="A190" s="11" t="s">
        <v>1065</v>
      </c>
      <c r="B190" s="3">
        <v>-5000000</v>
      </c>
      <c r="C190" s="11">
        <v>1</v>
      </c>
      <c r="D190" s="11">
        <f t="shared" si="8"/>
        <v>10</v>
      </c>
      <c r="E190" s="11">
        <f t="shared" si="7"/>
        <v>0</v>
      </c>
      <c r="F190" s="11">
        <f t="shared" si="5"/>
        <v>-50000000</v>
      </c>
      <c r="G190" s="11" t="s">
        <v>1055</v>
      </c>
    </row>
    <row r="191" spans="1:7" x14ac:dyDescent="0.25">
      <c r="A191" s="11" t="s">
        <v>1071</v>
      </c>
      <c r="B191" s="3">
        <v>483248</v>
      </c>
      <c r="C191" s="11">
        <v>4</v>
      </c>
      <c r="D191" s="11">
        <f t="shared" si="8"/>
        <v>9</v>
      </c>
      <c r="E191" s="11">
        <f t="shared" si="7"/>
        <v>1</v>
      </c>
      <c r="F191" s="11">
        <f t="shared" si="5"/>
        <v>3865984</v>
      </c>
      <c r="G191" s="11" t="s">
        <v>1073</v>
      </c>
    </row>
    <row r="192" spans="1:7" x14ac:dyDescent="0.25">
      <c r="A192" s="11" t="s">
        <v>1100</v>
      </c>
      <c r="B192" s="3">
        <v>-115300</v>
      </c>
      <c r="C192" s="11">
        <v>4</v>
      </c>
      <c r="D192" s="11">
        <f t="shared" si="8"/>
        <v>5</v>
      </c>
      <c r="E192" s="11">
        <f t="shared" si="7"/>
        <v>0</v>
      </c>
      <c r="F192" s="11">
        <f t="shared" si="5"/>
        <v>-576500</v>
      </c>
      <c r="G192" s="11" t="s">
        <v>1101</v>
      </c>
    </row>
    <row r="193" spans="1:7" x14ac:dyDescent="0.25">
      <c r="A193" s="11" t="s">
        <v>1112</v>
      </c>
      <c r="B193" s="3">
        <v>90000000</v>
      </c>
      <c r="C193" s="11">
        <v>1</v>
      </c>
      <c r="D193" s="11">
        <f t="shared" si="8"/>
        <v>1</v>
      </c>
      <c r="E193" s="11">
        <f t="shared" si="7"/>
        <v>1</v>
      </c>
      <c r="F193" s="11">
        <f t="shared" si="5"/>
        <v>0</v>
      </c>
      <c r="G193" s="11" t="s">
        <v>1113</v>
      </c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91984347</v>
      </c>
      <c r="C202" s="11"/>
      <c r="D202" s="11"/>
      <c r="E202" s="11"/>
      <c r="F202" s="29">
        <f>SUM(F2:F200)</f>
        <v>18270861971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27433726.683183182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zoomScaleNormal="100" workbookViewId="0">
      <selection activeCell="J22" sqref="J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714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954</v>
      </c>
      <c r="N1" s="11" t="s">
        <v>452</v>
      </c>
      <c r="O1" s="11" t="s">
        <v>755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958</v>
      </c>
      <c r="S2" s="29" t="s">
        <v>724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761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715</v>
      </c>
      <c r="N3" s="29">
        <v>46000000</v>
      </c>
      <c r="O3" s="29">
        <v>40000000</v>
      </c>
      <c r="P3" s="11" t="s">
        <v>956</v>
      </c>
      <c r="S3" s="29" t="s">
        <v>760</v>
      </c>
      <c r="T3" s="29">
        <v>6000000</v>
      </c>
      <c r="U3" s="11">
        <v>25</v>
      </c>
      <c r="V3" s="29">
        <f t="shared" si="1"/>
        <v>150000000</v>
      </c>
      <c r="W3" s="11" t="s">
        <v>762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787</v>
      </c>
      <c r="T4" s="29">
        <v>3500000</v>
      </c>
      <c r="U4" s="11">
        <v>19</v>
      </c>
      <c r="V4" s="29">
        <f t="shared" si="1"/>
        <v>66500000</v>
      </c>
      <c r="W4" s="11" t="s">
        <v>790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716</v>
      </c>
      <c r="N5" s="29">
        <v>27000000</v>
      </c>
      <c r="O5" s="29">
        <v>41000000</v>
      </c>
      <c r="P5" s="11" t="s">
        <v>716</v>
      </c>
      <c r="S5" s="29" t="s">
        <v>813</v>
      </c>
      <c r="T5" s="29">
        <v>500000</v>
      </c>
      <c r="U5" s="11">
        <v>3</v>
      </c>
      <c r="V5" s="29">
        <f t="shared" si="1"/>
        <v>1500000</v>
      </c>
      <c r="W5" s="11" t="s">
        <v>816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-37600000</v>
      </c>
      <c r="O6" s="29">
        <v>-25000000</v>
      </c>
      <c r="P6" s="11" t="s">
        <v>957</v>
      </c>
      <c r="S6" s="29" t="s">
        <v>815</v>
      </c>
      <c r="T6" s="29">
        <v>-2500000</v>
      </c>
      <c r="U6" s="11">
        <v>1</v>
      </c>
      <c r="V6" s="29">
        <f t="shared" si="1"/>
        <v>-2500000</v>
      </c>
      <c r="W6" s="11" t="s">
        <v>820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721</v>
      </c>
      <c r="M7" s="11" t="s">
        <v>717</v>
      </c>
      <c r="N7" s="29">
        <v>57000000</v>
      </c>
      <c r="O7" s="29"/>
      <c r="P7" s="11"/>
      <c r="S7" s="29" t="s">
        <v>821</v>
      </c>
      <c r="T7" s="29">
        <v>-5800000</v>
      </c>
      <c r="U7" s="11">
        <v>2</v>
      </c>
      <c r="V7" s="29">
        <f t="shared" si="1"/>
        <v>-11600000</v>
      </c>
      <c r="W7" s="11" t="s">
        <v>822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955</v>
      </c>
      <c r="N8" s="29">
        <v>10000000</v>
      </c>
      <c r="O8" s="29"/>
      <c r="P8" s="11"/>
      <c r="S8" s="29" t="s">
        <v>825</v>
      </c>
      <c r="T8" s="29">
        <v>-7500000</v>
      </c>
      <c r="U8" s="11">
        <v>4</v>
      </c>
      <c r="V8" s="29">
        <f t="shared" si="1"/>
        <v>-30000000</v>
      </c>
      <c r="W8" s="11" t="s">
        <v>826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736</v>
      </c>
      <c r="M9" s="11" t="s">
        <v>25</v>
      </c>
      <c r="N9" s="29"/>
      <c r="O9" s="29"/>
      <c r="P9" s="11"/>
      <c r="S9" s="29" t="s">
        <v>833</v>
      </c>
      <c r="T9" s="29">
        <v>-8500000</v>
      </c>
      <c r="U9" s="11">
        <v>7</v>
      </c>
      <c r="V9" s="29">
        <f>T9*U9</f>
        <v>-59500000</v>
      </c>
      <c r="W9" s="11" t="s">
        <v>835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786</v>
      </c>
      <c r="M10" s="11" t="s">
        <v>719</v>
      </c>
      <c r="N10" s="29">
        <f>SUM(N2:N6)</f>
        <v>126400000</v>
      </c>
      <c r="O10" s="29"/>
      <c r="P10" s="11"/>
      <c r="S10" s="29" t="s">
        <v>846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848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832</v>
      </c>
      <c r="M11" s="11" t="s">
        <v>720</v>
      </c>
      <c r="N11" s="29">
        <f>SUM(N2:N9)</f>
        <v>193400000</v>
      </c>
      <c r="O11" s="29">
        <f>SUM(O2:O9)</f>
        <v>210000000</v>
      </c>
      <c r="P11" s="11"/>
      <c r="S11" s="29" t="s">
        <v>869</v>
      </c>
      <c r="T11" s="29">
        <v>-7500000</v>
      </c>
      <c r="U11" s="11">
        <v>30</v>
      </c>
      <c r="V11" s="29">
        <f t="shared" si="5"/>
        <v>-225000000</v>
      </c>
      <c r="W11" s="75" t="s">
        <v>870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877</v>
      </c>
      <c r="S12" s="29" t="s">
        <v>907</v>
      </c>
      <c r="T12" s="29">
        <v>-4500000</v>
      </c>
      <c r="U12" s="11">
        <v>21</v>
      </c>
      <c r="V12" s="29">
        <f t="shared" si="5"/>
        <v>-94500000</v>
      </c>
      <c r="W12" s="11" t="s">
        <v>948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915</v>
      </c>
      <c r="O13" t="s">
        <v>25</v>
      </c>
      <c r="S13" s="29" t="s">
        <v>940</v>
      </c>
      <c r="T13" s="29">
        <v>-3500000</v>
      </c>
      <c r="U13" s="11">
        <v>5</v>
      </c>
      <c r="V13" s="29">
        <f t="shared" si="5"/>
        <v>-17500000</v>
      </c>
      <c r="W13" s="11" t="s">
        <v>949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1102</v>
      </c>
      <c r="L14" s="25"/>
      <c r="O14" s="25"/>
      <c r="R14" s="25"/>
      <c r="S14" s="29" t="s">
        <v>959</v>
      </c>
      <c r="T14" s="29">
        <v>-500000</v>
      </c>
      <c r="U14" s="11">
        <v>100</v>
      </c>
      <c r="V14" s="29">
        <f t="shared" si="5"/>
        <v>-50000000</v>
      </c>
      <c r="W14" s="11" t="s">
        <v>1048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L27</f>
        <v>91467358</v>
      </c>
      <c r="G15" s="29">
        <f t="shared" si="0"/>
        <v>3085642</v>
      </c>
      <c r="H15" s="11"/>
      <c r="K15" s="2" t="s">
        <v>451</v>
      </c>
      <c r="L15" s="2" t="s">
        <v>452</v>
      </c>
      <c r="M15" s="11"/>
      <c r="N15" s="11" t="s">
        <v>755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91984347</v>
      </c>
      <c r="M16" s="11" t="s">
        <v>756</v>
      </c>
      <c r="N16" s="29">
        <f>'مسکن مریم یاران'!B127</f>
        <v>49727461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11" t="s">
        <v>657</v>
      </c>
      <c r="N17" s="29">
        <f>سارا!D156</f>
        <v>53258739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11" t="s">
        <v>757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-7300000</v>
      </c>
      <c r="M19" s="11" t="s">
        <v>764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883000</v>
      </c>
      <c r="M20" s="11" t="s">
        <v>765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735</v>
      </c>
      <c r="L21" s="43">
        <v>0</v>
      </c>
      <c r="M21" s="11" t="s">
        <v>766</v>
      </c>
      <c r="N21" s="29">
        <f>-1*L19</f>
        <v>7300000</v>
      </c>
      <c r="S21" s="29"/>
      <c r="T21" s="11"/>
      <c r="U21" s="11"/>
      <c r="V21" s="11"/>
      <c r="W21" s="11" t="s">
        <v>723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939</v>
      </c>
      <c r="L22" s="43">
        <v>4800000</v>
      </c>
      <c r="M22" s="11" t="s">
        <v>758</v>
      </c>
      <c r="N22" s="29">
        <v>980000</v>
      </c>
      <c r="P22" t="s">
        <v>25</v>
      </c>
      <c r="S22" s="11"/>
      <c r="T22" s="11"/>
      <c r="U22" s="11"/>
      <c r="V22" s="11"/>
      <c r="W22" s="11" t="s">
        <v>759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952</v>
      </c>
      <c r="L23" s="43">
        <v>0</v>
      </c>
      <c r="M23" s="11" t="s">
        <v>770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11" t="s">
        <v>1045</v>
      </c>
      <c r="L24" s="43">
        <v>0</v>
      </c>
      <c r="M24" s="11" t="s">
        <v>906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11"/>
      <c r="L25" s="43"/>
      <c r="M25" s="11" t="s">
        <v>1046</v>
      </c>
      <c r="N25" s="29">
        <f>-L24</f>
        <v>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 t="s">
        <v>598</v>
      </c>
      <c r="L27" s="3">
        <f>SUM(L16:L24)</f>
        <v>91467358</v>
      </c>
      <c r="M27" s="11"/>
      <c r="N27" s="29">
        <f>SUM(N16:N25)</f>
        <v>154466200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599</v>
      </c>
      <c r="L28" s="3">
        <f>L16+L17+L20</f>
        <v>92967358</v>
      </c>
      <c r="M28" s="11"/>
      <c r="N28" s="29">
        <f>N16+N17+N22</f>
        <v>103966200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56" t="s">
        <v>718</v>
      </c>
      <c r="L29" s="1">
        <f>L27+N7</f>
        <v>148467358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799</v>
      </c>
      <c r="L65" s="48" t="s">
        <v>476</v>
      </c>
    </row>
    <row r="66" spans="1:12" x14ac:dyDescent="0.25">
      <c r="K66" s="48">
        <v>1200000</v>
      </c>
      <c r="L66" s="48" t="s">
        <v>1076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130000</v>
      </c>
      <c r="L68" s="48" t="s">
        <v>558</v>
      </c>
    </row>
    <row r="69" spans="1:12" x14ac:dyDescent="0.25">
      <c r="K69" s="47">
        <v>300000</v>
      </c>
      <c r="L69" s="48" t="s">
        <v>795</v>
      </c>
    </row>
    <row r="70" spans="1:12" x14ac:dyDescent="0.25">
      <c r="K70" s="47">
        <v>500000</v>
      </c>
      <c r="L70" s="48" t="s">
        <v>796</v>
      </c>
    </row>
    <row r="71" spans="1:12" x14ac:dyDescent="0.25">
      <c r="K71" s="47">
        <v>500000</v>
      </c>
      <c r="L71" s="48" t="s">
        <v>797</v>
      </c>
    </row>
    <row r="72" spans="1:12" x14ac:dyDescent="0.25">
      <c r="K72" s="47">
        <v>75000</v>
      </c>
      <c r="L72" s="48" t="s">
        <v>798</v>
      </c>
    </row>
    <row r="73" spans="1:12" x14ac:dyDescent="0.25">
      <c r="K73" s="47">
        <v>450000</v>
      </c>
      <c r="L73" s="48" t="s">
        <v>800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803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402</v>
      </c>
      <c r="F2">
        <v>1</v>
      </c>
      <c r="G2">
        <f>B2*(E2-F2)</f>
        <v>20050000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396</v>
      </c>
      <c r="F3">
        <v>1</v>
      </c>
      <c r="G3">
        <f t="shared" ref="G3:G21" si="1">B3*(E3-F3)</f>
        <v>5925000000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394</v>
      </c>
      <c r="F4">
        <v>0</v>
      </c>
      <c r="G4">
        <f t="shared" si="1"/>
        <v>-1182000000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393</v>
      </c>
      <c r="F5">
        <v>0</v>
      </c>
      <c r="G5">
        <f t="shared" si="1"/>
        <v>-1257953700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391</v>
      </c>
      <c r="F6">
        <v>0</v>
      </c>
      <c r="G6">
        <f t="shared" si="1"/>
        <v>-1173351900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389</v>
      </c>
      <c r="F7">
        <v>0</v>
      </c>
      <c r="G7">
        <f t="shared" si="1"/>
        <v>-2258495100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367</v>
      </c>
      <c r="F8">
        <v>0</v>
      </c>
      <c r="G8">
        <f t="shared" si="1"/>
        <v>19971039</v>
      </c>
    </row>
    <row r="9" spans="1:7" x14ac:dyDescent="0.25">
      <c r="A9" t="s">
        <v>815</v>
      </c>
      <c r="B9" s="3">
        <v>-80000</v>
      </c>
      <c r="C9" t="s">
        <v>827</v>
      </c>
      <c r="D9">
        <v>65</v>
      </c>
      <c r="E9">
        <f t="shared" si="0"/>
        <v>95</v>
      </c>
      <c r="F9">
        <v>1</v>
      </c>
      <c r="G9">
        <f>B9*(E9-F9)</f>
        <v>-7520000</v>
      </c>
    </row>
    <row r="10" spans="1:7" x14ac:dyDescent="0.25">
      <c r="A10" t="s">
        <v>910</v>
      </c>
      <c r="B10" s="3">
        <v>850000</v>
      </c>
      <c r="C10" t="s">
        <v>916</v>
      </c>
      <c r="D10">
        <v>14</v>
      </c>
      <c r="E10">
        <f t="shared" si="0"/>
        <v>30</v>
      </c>
      <c r="F10">
        <v>1</v>
      </c>
      <c r="G10">
        <f t="shared" si="1"/>
        <v>24650000</v>
      </c>
    </row>
    <row r="11" spans="1:7" x14ac:dyDescent="0.25">
      <c r="A11" t="s">
        <v>932</v>
      </c>
      <c r="B11" s="3">
        <v>-700000</v>
      </c>
      <c r="C11" t="s">
        <v>942</v>
      </c>
      <c r="D11">
        <v>6</v>
      </c>
      <c r="E11">
        <f t="shared" si="0"/>
        <v>16</v>
      </c>
      <c r="F11">
        <v>1</v>
      </c>
      <c r="G11">
        <f t="shared" si="1"/>
        <v>-10500000</v>
      </c>
    </row>
    <row r="12" spans="1:7" x14ac:dyDescent="0.25">
      <c r="A12" t="s">
        <v>940</v>
      </c>
      <c r="B12" s="3">
        <v>1000000</v>
      </c>
      <c r="C12" t="s">
        <v>943</v>
      </c>
      <c r="D12">
        <v>8</v>
      </c>
      <c r="E12">
        <f t="shared" si="0"/>
        <v>10</v>
      </c>
      <c r="F12">
        <v>1</v>
      </c>
      <c r="G12">
        <f t="shared" si="1"/>
        <v>9000000</v>
      </c>
    </row>
    <row r="13" spans="1:7" x14ac:dyDescent="0.25">
      <c r="A13" t="s">
        <v>1071</v>
      </c>
      <c r="B13" s="3">
        <v>4857</v>
      </c>
      <c r="C13" t="s">
        <v>475</v>
      </c>
      <c r="D13">
        <v>1</v>
      </c>
      <c r="E13">
        <f t="shared" si="0"/>
        <v>2</v>
      </c>
      <c r="F13">
        <v>1</v>
      </c>
      <c r="G13">
        <f t="shared" si="1"/>
        <v>4857</v>
      </c>
    </row>
    <row r="14" spans="1:7" x14ac:dyDescent="0.25">
      <c r="A14" t="s">
        <v>1077</v>
      </c>
      <c r="B14" s="3">
        <v>-191000</v>
      </c>
      <c r="C14" t="s">
        <v>942</v>
      </c>
      <c r="D14">
        <v>1</v>
      </c>
      <c r="E14">
        <f t="shared" si="0"/>
        <v>1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980574</v>
      </c>
      <c r="G27" s="7">
        <f>SUM(G2:G21)</f>
        <v>108855196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270784.0696517413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" workbookViewId="0">
      <selection activeCell="P15" sqref="P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6500</v>
      </c>
      <c r="H31" s="11" t="s">
        <v>711</v>
      </c>
      <c r="I31" s="11">
        <v>224500</v>
      </c>
      <c r="J31" s="11" t="s">
        <v>477</v>
      </c>
    </row>
    <row r="32" spans="2:21" x14ac:dyDescent="0.25">
      <c r="G32" s="11">
        <f t="shared" si="6"/>
        <v>46000</v>
      </c>
      <c r="H32" s="59" t="s">
        <v>805</v>
      </c>
      <c r="I32" s="11">
        <v>185000</v>
      </c>
      <c r="J32" s="11" t="s">
        <v>558</v>
      </c>
    </row>
    <row r="33" spans="6:23" x14ac:dyDescent="0.25">
      <c r="G33" s="11">
        <f t="shared" si="6"/>
        <v>6500</v>
      </c>
      <c r="H33" s="11" t="s">
        <v>711</v>
      </c>
      <c r="I33" s="11">
        <v>224500</v>
      </c>
      <c r="J33" s="11" t="s">
        <v>566</v>
      </c>
    </row>
    <row r="34" spans="6:23" x14ac:dyDescent="0.25">
      <c r="G34" s="11">
        <f t="shared" si="6"/>
        <v>6500</v>
      </c>
      <c r="H34" s="11" t="s">
        <v>711</v>
      </c>
      <c r="I34" s="11">
        <v>224500</v>
      </c>
      <c r="J34" s="11" t="s">
        <v>567</v>
      </c>
    </row>
    <row r="35" spans="6:23" x14ac:dyDescent="0.25">
      <c r="G35" s="11">
        <f t="shared" si="6"/>
        <v>6500</v>
      </c>
      <c r="H35" s="11" t="s">
        <v>711</v>
      </c>
      <c r="I35" s="11">
        <v>224500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748</v>
      </c>
      <c r="I39" s="11">
        <v>190000</v>
      </c>
      <c r="J39" s="11" t="s">
        <v>747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746</v>
      </c>
      <c r="I40" s="11">
        <v>225000</v>
      </c>
      <c r="J40" s="11" t="s">
        <v>745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793</v>
      </c>
      <c r="I41" s="11">
        <v>216000</v>
      </c>
      <c r="J41" s="11" t="s">
        <v>792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793</v>
      </c>
      <c r="I42" s="11">
        <v>216000</v>
      </c>
      <c r="J42" s="11" t="s">
        <v>794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828</v>
      </c>
      <c r="I43" s="11">
        <v>227000</v>
      </c>
      <c r="J43" s="11" t="s">
        <v>829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2018-03-28T10:54:22Z</dcterms:modified>
</cp:coreProperties>
</file>