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N27" i="18" l="1"/>
  <c r="F202" i="15"/>
  <c r="I156" i="20"/>
  <c r="C12" i="33" l="1"/>
  <c r="B12" i="33"/>
  <c r="X32" i="32" l="1"/>
  <c r="AC15" i="33"/>
  <c r="N25" i="33"/>
  <c r="K43" i="32" l="1"/>
  <c r="S43" i="32" s="1"/>
  <c r="M43" i="32"/>
  <c r="Q43" i="32" s="1"/>
  <c r="P43" i="32" l="1"/>
  <c r="I42" i="32" l="1"/>
  <c r="AA4" i="32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A5" i="32"/>
  <c r="AA6" i="32" s="1"/>
  <c r="AA7" i="32" s="1"/>
  <c r="AA8" i="32" s="1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B18" i="33" l="1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U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P70" i="32" l="1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L24" i="18" l="1"/>
  <c r="N25" i="18" s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28" i="18" l="1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5" i="15" l="1"/>
</calcChain>
</file>

<file path=xl/sharedStrings.xml><?xml version="1.0" encoding="utf-8"?>
<sst xmlns="http://schemas.openxmlformats.org/spreadsheetml/2006/main" count="2686" uniqueCount="1113">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</sst>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918</v>
      </c>
      <c r="B3" s="18">
        <v>0</v>
      </c>
      <c r="C3" s="18">
        <v>0</v>
      </c>
      <c r="D3" s="43">
        <f t="shared" ref="D3:D22" si="0">B3-C3</f>
        <v>0</v>
      </c>
      <c r="E3" s="20" t="s">
        <v>919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1074</v>
      </c>
      <c r="B6" s="18">
        <v>0</v>
      </c>
      <c r="C6" s="18">
        <v>0</v>
      </c>
      <c r="D6" s="3">
        <f t="shared" si="0"/>
        <v>0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1077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1093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I156" sqref="I1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1045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1074</v>
      </c>
      <c r="B148" s="18">
        <v>252436</v>
      </c>
      <c r="C148" s="18">
        <v>65510</v>
      </c>
      <c r="D148" s="18">
        <f t="shared" si="12"/>
        <v>186926</v>
      </c>
      <c r="E148" s="11" t="s">
        <v>1076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N8" sqref="N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872</v>
      </c>
      <c r="N6" t="s">
        <v>1108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K10" t="s">
        <v>1109</v>
      </c>
      <c r="L10" s="34">
        <v>410021484671</v>
      </c>
      <c r="M10" s="33" t="s">
        <v>1110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1051</v>
      </c>
      <c r="B103" s="38">
        <v>295500</v>
      </c>
      <c r="C103" s="73" t="s">
        <v>1052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959</v>
      </c>
      <c r="B106" s="38">
        <v>-60000000</v>
      </c>
      <c r="C106" s="73" t="s">
        <v>1045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959</v>
      </c>
      <c r="B107" s="38">
        <v>5850000</v>
      </c>
      <c r="C107" s="73" t="s">
        <v>1049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1056</v>
      </c>
      <c r="B108" s="38">
        <v>3000000</v>
      </c>
      <c r="C108" s="73" t="s">
        <v>1066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1067</v>
      </c>
      <c r="B109" s="38">
        <v>2000000</v>
      </c>
      <c r="C109" s="73" t="s">
        <v>1066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1067</v>
      </c>
      <c r="B110" s="38">
        <v>-5000000</v>
      </c>
      <c r="C110" s="73" t="s">
        <v>1045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1074</v>
      </c>
      <c r="B111" s="38">
        <v>412668</v>
      </c>
      <c r="C111" s="73" t="s">
        <v>1075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1074</v>
      </c>
      <c r="B6" s="18">
        <v>252436</v>
      </c>
      <c r="C6" s="18">
        <v>65510</v>
      </c>
      <c r="D6" s="3">
        <f t="shared" si="0"/>
        <v>186926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1065</v>
      </c>
    </row>
    <row r="36" spans="4:17" x14ac:dyDescent="0.25">
      <c r="D36" s="42">
        <v>245000</v>
      </c>
      <c r="E36" s="41" t="s">
        <v>1065</v>
      </c>
    </row>
    <row r="37" spans="4:17" x14ac:dyDescent="0.25">
      <c r="D37" s="7">
        <v>-25000</v>
      </c>
      <c r="E37" s="41" t="s">
        <v>1069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S1" zoomScaleNormal="100" workbookViewId="0">
      <pane ySplit="1" topLeftCell="A2" activePane="bottomLeft" state="frozen"/>
      <selection pane="bottomLeft" activeCell="T29" sqref="T29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140625" bestFit="1" customWidth="1"/>
  </cols>
  <sheetData>
    <row r="1" spans="1:33" x14ac:dyDescent="0.25">
      <c r="A1" s="11" t="s">
        <v>965</v>
      </c>
      <c r="B1" s="11" t="s">
        <v>962</v>
      </c>
      <c r="C1" s="11" t="s">
        <v>963</v>
      </c>
      <c r="D1" s="11" t="s">
        <v>974</v>
      </c>
      <c r="E1" s="11" t="s">
        <v>976</v>
      </c>
      <c r="F1" s="11" t="s">
        <v>966</v>
      </c>
      <c r="G1" s="11" t="s">
        <v>183</v>
      </c>
      <c r="H1" s="11" t="s">
        <v>981</v>
      </c>
      <c r="I1" s="11" t="s">
        <v>971</v>
      </c>
      <c r="J1" s="11" t="s">
        <v>977</v>
      </c>
      <c r="K1" s="11" t="s">
        <v>978</v>
      </c>
      <c r="L1" s="11" t="s">
        <v>972</v>
      </c>
      <c r="M1" s="11" t="s">
        <v>979</v>
      </c>
      <c r="N1" s="11" t="s">
        <v>5</v>
      </c>
      <c r="O1" s="11" t="s">
        <v>483</v>
      </c>
      <c r="P1" s="11" t="s">
        <v>39</v>
      </c>
      <c r="Q1" s="11" t="s">
        <v>1053</v>
      </c>
      <c r="R1" s="11" t="s">
        <v>982</v>
      </c>
      <c r="S1" s="74" t="s">
        <v>1071</v>
      </c>
      <c r="AB1" s="11" t="s">
        <v>981</v>
      </c>
      <c r="AC1" s="25"/>
    </row>
    <row r="2" spans="1:33" x14ac:dyDescent="0.25">
      <c r="A2" s="76" t="s">
        <v>951</v>
      </c>
      <c r="B2" s="76" t="s">
        <v>973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951</v>
      </c>
      <c r="B3" s="76" t="s">
        <v>973</v>
      </c>
      <c r="C3" s="76">
        <v>400</v>
      </c>
      <c r="D3" s="76" t="s">
        <v>975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968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969</v>
      </c>
      <c r="AC3" s="82" t="s">
        <v>1059</v>
      </c>
      <c r="AD3" s="82" t="s">
        <v>1060</v>
      </c>
      <c r="AE3" s="82" t="s">
        <v>1061</v>
      </c>
      <c r="AF3" s="82" t="s">
        <v>1062</v>
      </c>
      <c r="AG3" s="82" t="s">
        <v>970</v>
      </c>
    </row>
    <row r="4" spans="1:33" x14ac:dyDescent="0.25">
      <c r="A4" s="79" t="s">
        <v>951</v>
      </c>
      <c r="B4" s="79" t="s">
        <v>964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951</v>
      </c>
      <c r="V4" s="82" t="s">
        <v>961</v>
      </c>
      <c r="W4" s="85">
        <v>80500000</v>
      </c>
      <c r="X4" s="82" t="s">
        <v>675</v>
      </c>
      <c r="Y4" s="85">
        <v>80500000</v>
      </c>
      <c r="Z4" s="86">
        <f>W4-Y4</f>
        <v>0</v>
      </c>
      <c r="AA4" s="82">
        <f>Z18+Z19</f>
        <v>15</v>
      </c>
      <c r="AB4" s="85">
        <f t="shared" ref="AB4:AB10" si="2">W4*AA4*$AB$2/(365*100)</f>
        <v>727808.21917808219</v>
      </c>
      <c r="AC4" s="85">
        <f>AB4</f>
        <v>727808.21917808219</v>
      </c>
      <c r="AD4" s="85">
        <v>0</v>
      </c>
      <c r="AE4" s="85">
        <f>Y4+AC4</f>
        <v>81227808.219178081</v>
      </c>
      <c r="AF4" s="85">
        <f>Z4+AD4</f>
        <v>0</v>
      </c>
      <c r="AG4" s="86">
        <f t="shared" ref="AG4:AG9" si="3">W4+AB4</f>
        <v>81227808.219178081</v>
      </c>
    </row>
    <row r="5" spans="1:33" x14ac:dyDescent="0.25">
      <c r="A5" s="79" t="s">
        <v>1056</v>
      </c>
      <c r="B5" s="79" t="s">
        <v>964</v>
      </c>
      <c r="C5" s="79">
        <v>3</v>
      </c>
      <c r="D5" s="79" t="s">
        <v>975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959</v>
      </c>
      <c r="V5" s="82" t="s">
        <v>961</v>
      </c>
      <c r="W5" s="85">
        <v>87000000</v>
      </c>
      <c r="X5" s="82" t="s">
        <v>1042</v>
      </c>
      <c r="Y5" s="85">
        <v>0</v>
      </c>
      <c r="Z5" s="86">
        <f t="shared" ref="Z5:Z8" si="4">W5-Y5</f>
        <v>87000000</v>
      </c>
      <c r="AA5" s="82">
        <f>AA4-4</f>
        <v>11</v>
      </c>
      <c r="AB5" s="85">
        <f t="shared" si="2"/>
        <v>576821.91780821921</v>
      </c>
      <c r="AC5" s="85">
        <v>0</v>
      </c>
      <c r="AD5" s="85">
        <f>AB5</f>
        <v>576821.91780821921</v>
      </c>
      <c r="AE5" s="85">
        <f t="shared" ref="AE5:AE11" si="5">Y5+AC5</f>
        <v>0</v>
      </c>
      <c r="AF5" s="85">
        <f t="shared" ref="AF5:AF11" si="6">Z5+AD5</f>
        <v>87576821.91780822</v>
      </c>
      <c r="AG5" s="86">
        <f t="shared" si="3"/>
        <v>87576821.91780822</v>
      </c>
    </row>
    <row r="6" spans="1:33" x14ac:dyDescent="0.25">
      <c r="A6" s="76" t="s">
        <v>951</v>
      </c>
      <c r="B6" s="76" t="s">
        <v>964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1056</v>
      </c>
      <c r="V6" s="82" t="s">
        <v>961</v>
      </c>
      <c r="W6" s="85">
        <v>1100000</v>
      </c>
      <c r="X6" s="82" t="s">
        <v>675</v>
      </c>
      <c r="Y6" s="85">
        <v>1100000</v>
      </c>
      <c r="Z6" s="86">
        <f t="shared" si="4"/>
        <v>0</v>
      </c>
      <c r="AA6" s="82">
        <f>AA5-1</f>
        <v>10</v>
      </c>
      <c r="AB6" s="85">
        <f t="shared" si="2"/>
        <v>6630.1369863013697</v>
      </c>
      <c r="AC6" s="85">
        <f>AB6</f>
        <v>6630.1369863013697</v>
      </c>
      <c r="AD6" s="85">
        <v>0</v>
      </c>
      <c r="AE6" s="85">
        <f t="shared" si="5"/>
        <v>1106630.1369863013</v>
      </c>
      <c r="AF6" s="85">
        <f t="shared" si="6"/>
        <v>0</v>
      </c>
      <c r="AG6" s="86">
        <f t="shared" si="3"/>
        <v>1106630.1369863013</v>
      </c>
    </row>
    <row r="7" spans="1:33" x14ac:dyDescent="0.25">
      <c r="A7" s="76" t="s">
        <v>1067</v>
      </c>
      <c r="B7" s="76" t="s">
        <v>964</v>
      </c>
      <c r="C7" s="76">
        <v>497</v>
      </c>
      <c r="D7" s="76" t="s">
        <v>975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1067</v>
      </c>
      <c r="V7" s="82" t="s">
        <v>961</v>
      </c>
      <c r="W7" s="85">
        <v>10000000</v>
      </c>
      <c r="X7" s="82" t="s">
        <v>1070</v>
      </c>
      <c r="Y7" s="85">
        <v>5000000</v>
      </c>
      <c r="Z7" s="86">
        <f t="shared" si="4"/>
        <v>5000000</v>
      </c>
      <c r="AA7" s="82">
        <f>AA6-1</f>
        <v>9</v>
      </c>
      <c r="AB7" s="85">
        <f t="shared" si="2"/>
        <v>54246.575342465752</v>
      </c>
      <c r="AC7" s="85">
        <f>AB7/2</f>
        <v>27123.287671232876</v>
      </c>
      <c r="AD7" s="85">
        <f>AB7-AC7</f>
        <v>27123.287671232876</v>
      </c>
      <c r="AE7" s="85">
        <f t="shared" si="5"/>
        <v>5027123.2876712326</v>
      </c>
      <c r="AF7" s="85">
        <f t="shared" si="6"/>
        <v>5027123.2876712326</v>
      </c>
      <c r="AG7" s="86">
        <f t="shared" si="3"/>
        <v>10054246.575342465</v>
      </c>
    </row>
    <row r="8" spans="1:33" x14ac:dyDescent="0.25">
      <c r="A8" s="79" t="s">
        <v>960</v>
      </c>
      <c r="B8" s="79" t="s">
        <v>980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2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980</v>
      </c>
      <c r="C9" s="79">
        <v>300</v>
      </c>
      <c r="D9" s="79" t="s">
        <v>975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980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1067</v>
      </c>
      <c r="B11" s="76" t="s">
        <v>980</v>
      </c>
      <c r="C11" s="76">
        <v>100</v>
      </c>
      <c r="D11" s="76" t="s">
        <v>975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1043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1365506.8493150682</v>
      </c>
      <c r="AC12" s="86">
        <f>SUM(AC4:AC10)</f>
        <v>761561.64383561641</v>
      </c>
      <c r="AD12" s="86">
        <f>SUM(AD4:AD10)</f>
        <v>603945.20547945204</v>
      </c>
      <c r="AE12" s="86">
        <f>SUM(AE4:AE11)</f>
        <v>87361561.643835619</v>
      </c>
      <c r="AF12" s="86">
        <f>SUM(AF4:AF11)</f>
        <v>92603945.205479458</v>
      </c>
      <c r="AG12" s="86">
        <f>SUM(AG4:AG10)</f>
        <v>179965506.84931511</v>
      </c>
    </row>
    <row r="13" spans="1:33" x14ac:dyDescent="0.25">
      <c r="A13" s="79" t="s">
        <v>959</v>
      </c>
      <c r="B13" s="79" t="s">
        <v>1043</v>
      </c>
      <c r="C13" s="79">
        <v>200</v>
      </c>
      <c r="D13" s="79" t="s">
        <v>975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990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990</v>
      </c>
      <c r="C15" s="76">
        <v>200</v>
      </c>
      <c r="D15" s="76" t="s">
        <v>975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1063</v>
      </c>
      <c r="Z15" s="7">
        <f>Z12+Q70</f>
        <v>94401165.5</v>
      </c>
      <c r="AA15" s="7">
        <f>Y12+P70</f>
        <v>90402449.5</v>
      </c>
    </row>
    <row r="16" spans="1:33" x14ac:dyDescent="0.25">
      <c r="A16" s="79" t="s">
        <v>959</v>
      </c>
      <c r="B16" s="79" t="s">
        <v>973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1064</v>
      </c>
      <c r="Z16" s="7">
        <f>Z15-AF12</f>
        <v>1797220.294520542</v>
      </c>
      <c r="AA16" s="7">
        <f>AA15-AE12</f>
        <v>3040887.8561643809</v>
      </c>
    </row>
    <row r="17" spans="1:30" x14ac:dyDescent="0.25">
      <c r="A17" s="79" t="s">
        <v>1067</v>
      </c>
      <c r="B17" s="79" t="s">
        <v>973</v>
      </c>
      <c r="C17" s="79">
        <v>100</v>
      </c>
      <c r="D17" s="79" t="s">
        <v>975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959</v>
      </c>
      <c r="B18" s="76" t="s">
        <v>973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1096</v>
      </c>
      <c r="Z18">
        <v>8</v>
      </c>
    </row>
    <row r="19" spans="1:30" x14ac:dyDescent="0.25">
      <c r="A19" s="76" t="s">
        <v>1067</v>
      </c>
      <c r="B19" s="76" t="s">
        <v>973</v>
      </c>
      <c r="C19" s="76">
        <v>100</v>
      </c>
      <c r="D19" s="76" t="s">
        <v>975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8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1097</v>
      </c>
      <c r="Z19">
        <v>7</v>
      </c>
    </row>
    <row r="20" spans="1:30" x14ac:dyDescent="0.25">
      <c r="A20" s="79" t="s">
        <v>959</v>
      </c>
      <c r="B20" s="79" t="s">
        <v>973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1067</v>
      </c>
      <c r="B21" s="79" t="s">
        <v>973</v>
      </c>
      <c r="C21" s="79">
        <v>200</v>
      </c>
      <c r="D21" s="79" t="s">
        <v>975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9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959</v>
      </c>
      <c r="B22" s="76" t="s">
        <v>986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983</v>
      </c>
      <c r="X22" s="11" t="s">
        <v>182</v>
      </c>
    </row>
    <row r="23" spans="1:30" x14ac:dyDescent="0.25">
      <c r="A23" s="76" t="s">
        <v>1067</v>
      </c>
      <c r="B23" s="76" t="s">
        <v>986</v>
      </c>
      <c r="C23" s="76">
        <v>100</v>
      </c>
      <c r="D23" s="76" t="s">
        <v>975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984</v>
      </c>
      <c r="X23" s="3">
        <v>184803608</v>
      </c>
      <c r="AD23" t="s">
        <v>25</v>
      </c>
    </row>
    <row r="24" spans="1:30" x14ac:dyDescent="0.25">
      <c r="A24" s="79" t="s">
        <v>959</v>
      </c>
      <c r="B24" s="79" t="s">
        <v>973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1067</v>
      </c>
      <c r="B25" s="79" t="s">
        <v>973</v>
      </c>
      <c r="C25" s="79">
        <v>300</v>
      </c>
      <c r="D25" s="79" t="s">
        <v>975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986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1067</v>
      </c>
      <c r="B27" s="76" t="s">
        <v>986</v>
      </c>
      <c r="C27" s="76">
        <v>200</v>
      </c>
      <c r="D27" s="76" t="s">
        <v>975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986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1106</v>
      </c>
      <c r="B29" s="90" t="s">
        <v>986</v>
      </c>
      <c r="C29" s="90">
        <v>100</v>
      </c>
      <c r="D29" s="90" t="s">
        <v>975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3"/>
      <c r="Z29" s="7">
        <f>X32-W12</f>
        <v>6203608</v>
      </c>
    </row>
    <row r="30" spans="1:30" x14ac:dyDescent="0.25">
      <c r="A30" s="79" t="s">
        <v>1056</v>
      </c>
      <c r="B30" s="79" t="s">
        <v>1043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4838101.1506849322</v>
      </c>
    </row>
    <row r="31" spans="1:30" x14ac:dyDescent="0.25">
      <c r="A31" s="79" t="s">
        <v>1056</v>
      </c>
      <c r="B31" s="79" t="s">
        <v>1043</v>
      </c>
      <c r="C31" s="79">
        <v>143</v>
      </c>
      <c r="D31" s="79" t="s">
        <v>975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1056</v>
      </c>
      <c r="B32" s="76" t="s">
        <v>964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184803608</v>
      </c>
    </row>
    <row r="33" spans="1:24" x14ac:dyDescent="0.25">
      <c r="A33" s="76" t="s">
        <v>1056</v>
      </c>
      <c r="B33" s="76" t="s">
        <v>964</v>
      </c>
      <c r="C33" s="76">
        <v>500</v>
      </c>
      <c r="D33" s="76" t="s">
        <v>975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1056</v>
      </c>
      <c r="B34" s="79" t="s">
        <v>1043</v>
      </c>
      <c r="C34" s="79">
        <v>140</v>
      </c>
      <c r="D34" s="79" t="s">
        <v>1058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979</v>
      </c>
      <c r="X34" s="3">
        <f>X32-AG12</f>
        <v>4838101.1506848931</v>
      </c>
    </row>
    <row r="35" spans="1:24" x14ac:dyDescent="0.25">
      <c r="A35" s="79" t="s">
        <v>1056</v>
      </c>
      <c r="B35" s="79" t="s">
        <v>1043</v>
      </c>
      <c r="C35" s="79">
        <v>140</v>
      </c>
      <c r="D35" s="79" t="s">
        <v>975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1067</v>
      </c>
      <c r="B36" s="76" t="s">
        <v>980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1067</v>
      </c>
      <c r="B37" s="76" t="s">
        <v>980</v>
      </c>
      <c r="C37" s="76">
        <v>100</v>
      </c>
      <c r="D37" s="76" t="s">
        <v>975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1067</v>
      </c>
      <c r="B38" s="79" t="s">
        <v>987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1067</v>
      </c>
      <c r="B39" s="79" t="s">
        <v>987</v>
      </c>
      <c r="C39" s="79">
        <v>500</v>
      </c>
      <c r="D39" s="79" t="s">
        <v>975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1067</v>
      </c>
      <c r="B40" s="76" t="s">
        <v>964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1106</v>
      </c>
      <c r="B41" s="76" t="s">
        <v>964</v>
      </c>
      <c r="C41" s="76">
        <v>8</v>
      </c>
      <c r="D41" s="76" t="s">
        <v>975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1067</v>
      </c>
      <c r="B42" s="79" t="s">
        <v>990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262192.5922191781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85820.1654776418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1107</v>
      </c>
      <c r="B43" s="79" t="s">
        <v>990</v>
      </c>
      <c r="C43" s="79">
        <v>1900</v>
      </c>
      <c r="D43" s="79" t="s">
        <v>975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50">M43*N43/C42</f>
        <v>505161.5</v>
      </c>
      <c r="Q43" s="81">
        <f t="shared" ref="Q43" si="51">M43*O43/C42</f>
        <v>505161.5</v>
      </c>
      <c r="R43" s="79"/>
      <c r="S43" s="80">
        <f t="shared" ref="S43" si="52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3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4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5">F53-F52</f>
        <v>0</v>
      </c>
      <c r="N53" s="76">
        <v>50</v>
      </c>
      <c r="O53" s="76">
        <v>50</v>
      </c>
      <c r="P53" s="78">
        <f t="shared" ref="P53" si="56">M53*N53/C52</f>
        <v>0</v>
      </c>
      <c r="Q53" s="78">
        <f t="shared" ref="Q53" si="57">M53*O53/C52</f>
        <v>0</v>
      </c>
      <c r="R53" s="76"/>
      <c r="S53" s="89">
        <f t="shared" ref="S53" si="58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ref="L54" si="59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60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1">F55-F54</f>
        <v>0</v>
      </c>
      <c r="N55" s="79">
        <v>50</v>
      </c>
      <c r="O55" s="79">
        <v>50</v>
      </c>
      <c r="P55" s="79">
        <f t="shared" ref="P55" si="62">M55*N55/C54</f>
        <v>0</v>
      </c>
      <c r="Q55" s="79">
        <f t="shared" ref="Q55" si="63">M55*O55/C54</f>
        <v>0</v>
      </c>
      <c r="R55" s="79"/>
      <c r="S55" s="80">
        <f t="shared" ref="S55" si="64">-C55*E55+K55+F55</f>
        <v>0</v>
      </c>
    </row>
    <row r="56" spans="1:20" x14ac:dyDescent="0.25">
      <c r="A56" s="16" t="s">
        <v>1112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5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6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7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8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9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0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1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2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3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1054</v>
      </c>
      <c r="Q71" s="11" t="s">
        <v>1055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P1" activePane="topRight" state="frozen"/>
      <selection pane="topRight" activeCell="AC3" sqref="AC3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1091</v>
      </c>
      <c r="M1" s="11" t="s">
        <v>998</v>
      </c>
      <c r="N1" s="11" t="s">
        <v>1081</v>
      </c>
      <c r="O1" s="11" t="s">
        <v>1000</v>
      </c>
      <c r="P1" s="11" t="s">
        <v>1087</v>
      </c>
      <c r="Q1" s="11" t="s">
        <v>1001</v>
      </c>
      <c r="R1" s="11" t="s">
        <v>1035</v>
      </c>
      <c r="S1" s="11" t="s">
        <v>1012</v>
      </c>
      <c r="T1" s="11" t="s">
        <v>967</v>
      </c>
      <c r="U1" s="69" t="s">
        <v>1086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981</v>
      </c>
      <c r="AD1" t="s">
        <v>1040</v>
      </c>
      <c r="AE1" t="s">
        <v>1041</v>
      </c>
      <c r="AI1">
        <v>0.51500000000000001</v>
      </c>
      <c r="AJ1" t="s">
        <v>1072</v>
      </c>
      <c r="AL1" t="s">
        <v>1082</v>
      </c>
      <c r="AM1" t="s">
        <v>1083</v>
      </c>
    </row>
    <row r="2" spans="1:39" x14ac:dyDescent="0.25">
      <c r="A2" s="92" t="s">
        <v>991</v>
      </c>
      <c r="B2" s="93">
        <f>$S2/(1+($AC$2-$O2+$P2)/36500)^$N2</f>
        <v>93222.062370819505</v>
      </c>
      <c r="C2" s="93">
        <f>$S2/(1+($AC$3-$O2+$P2)/36500)^$N2</f>
        <v>93062.66268058258</v>
      </c>
      <c r="D2" s="93">
        <f>$S2/(1+($AC$4-$O2+$P2)/36500)^$N2</f>
        <v>93222.062370819505</v>
      </c>
      <c r="E2" s="93">
        <f>$S2/(1+($AC$5-$O2+$P2)/36500)^$N2</f>
        <v>93381.737272159662</v>
      </c>
      <c r="F2" s="93">
        <f>$S2/(1+($AC$6-$O2+$P2)/36500)^$N2</f>
        <v>93541.687863549334</v>
      </c>
      <c r="G2" s="93">
        <f>$S2/(1+($AC$7-$O2+$P2)/36500)^$N2</f>
        <v>93701.914624767291</v>
      </c>
      <c r="H2" s="93">
        <f>$S2/(1+($AC$8-$O2+$P2)/36500)^$N2</f>
        <v>93862.418036441493</v>
      </c>
      <c r="I2" s="93">
        <f>$S2/(1+($AC$9-$O2+$P2)/36500)^$N2</f>
        <v>94023.1985800369</v>
      </c>
      <c r="J2" s="93">
        <f>$S2/(1+($AC$10-$O2+$P2)/36500)^$N2</f>
        <v>94184.256737865508</v>
      </c>
      <c r="K2" s="93">
        <f>$S2/(1+($AC$11-$O2+$P2)/36500)^$N2</f>
        <v>94345.592993090031</v>
      </c>
      <c r="L2" s="93">
        <f>$S2/(1+($AC$5-$O2+$P2)/36500)^$N2</f>
        <v>93381.737272159662</v>
      </c>
      <c r="M2" s="92" t="s">
        <v>1021</v>
      </c>
      <c r="N2" s="92">
        <f>132-$AD$19</f>
        <v>125</v>
      </c>
      <c r="O2" s="92">
        <v>0</v>
      </c>
      <c r="P2" s="92">
        <v>0</v>
      </c>
      <c r="Q2" s="92">
        <v>0</v>
      </c>
      <c r="R2" s="92">
        <f t="shared" ref="R2:R29" si="0">N2/30.5</f>
        <v>4.0983606557377046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86973.984375000015</v>
      </c>
      <c r="AA2" s="3">
        <f t="shared" ref="AA2:AA49" si="1">Y2+AA1*(1+$AC$2/1200)</f>
        <v>1185</v>
      </c>
      <c r="AB2" t="s">
        <v>61</v>
      </c>
      <c r="AC2">
        <v>20.5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1073</v>
      </c>
    </row>
    <row r="3" spans="1:39" x14ac:dyDescent="0.25">
      <c r="A3" s="94" t="s">
        <v>992</v>
      </c>
      <c r="B3" s="95">
        <f t="shared" ref="B3:B29" si="2">$S3/(1+($AC$2-$O3+$P3)/36500)^$N3</f>
        <v>91407.944823064754</v>
      </c>
      <c r="C3" s="95">
        <f t="shared" ref="C3:C29" si="3">$S3/(1+($AC$3-$O3+$P3)/36500)^$N3</f>
        <v>91207.931621335592</v>
      </c>
      <c r="D3" s="95">
        <f t="shared" ref="D3:D29" si="4">$S3/(1+($AC$4-$O3+$P3)/36500)^$N3</f>
        <v>91407.944823064754</v>
      </c>
      <c r="E3" s="95">
        <f t="shared" ref="E3:E29" si="5">$S3/(1+($AC$5-$O3+$P3)/36500)^$N3</f>
        <v>91608.399388440506</v>
      </c>
      <c r="F3" s="95">
        <f t="shared" ref="F3:F29" si="6">$S3/(1+($AC$6-$O3+$P3)/36500)^$N3</f>
        <v>91809.296297475215</v>
      </c>
      <c r="G3" s="95">
        <f t="shared" ref="G3:G29" si="7">$S3/(1+($AC$7-$O3+$P3)/36500)^$N3</f>
        <v>92010.636532361212</v>
      </c>
      <c r="H3" s="95">
        <f t="shared" ref="H3:H29" si="8">$S3/(1+($AC$8-$O3+$P3)/36500)^$N3</f>
        <v>92212.421077494757</v>
      </c>
      <c r="I3" s="95">
        <f t="shared" ref="I3:I29" si="9">$S3/(1+($AC$9-$O3+$P3)/36500)^$N3</f>
        <v>92414.650919463907</v>
      </c>
      <c r="J3" s="95">
        <f t="shared" ref="J3:J29" si="10">$S3/(1+($AC$10-$O3+$P3)/36500)^$N3</f>
        <v>92617.327047064231</v>
      </c>
      <c r="K3" s="95">
        <f t="shared" ref="K3:K29" si="11">$S3/(1+($AC$11-$O3+$P3)/36500)^$N3</f>
        <v>92820.450451306184</v>
      </c>
      <c r="L3" s="95">
        <f t="shared" ref="L3:L29" si="12">$S3/(1+($AC$5-$O3+$P3)/36500)^$N3</f>
        <v>91608.399388440506</v>
      </c>
      <c r="M3" s="94" t="s">
        <v>1022</v>
      </c>
      <c r="N3" s="94">
        <f>167-$AD$19</f>
        <v>160</v>
      </c>
      <c r="O3" s="94">
        <v>0</v>
      </c>
      <c r="P3" s="94">
        <v>0</v>
      </c>
      <c r="Q3" s="94">
        <v>0</v>
      </c>
      <c r="R3" s="94">
        <f t="shared" si="0"/>
        <v>5.2459016393442619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88473.37962646487</v>
      </c>
      <c r="AA3" s="3">
        <f t="shared" si="1"/>
        <v>2390.2437500000001</v>
      </c>
      <c r="AC3">
        <v>21</v>
      </c>
    </row>
    <row r="4" spans="1:39" x14ac:dyDescent="0.25">
      <c r="A4" s="96" t="s">
        <v>993</v>
      </c>
      <c r="B4" s="97">
        <f t="shared" si="2"/>
        <v>89931.592621546282</v>
      </c>
      <c r="C4" s="97">
        <f t="shared" si="3"/>
        <v>89699.189133052714</v>
      </c>
      <c r="D4" s="97">
        <f t="shared" si="4"/>
        <v>89931.592621546282</v>
      </c>
      <c r="E4" s="97">
        <f t="shared" si="5"/>
        <v>90164.601443270163</v>
      </c>
      <c r="F4" s="97">
        <f t="shared" si="6"/>
        <v>90398.217183240005</v>
      </c>
      <c r="G4" s="97">
        <f t="shared" si="7"/>
        <v>90632.441430632316</v>
      </c>
      <c r="H4" s="97">
        <f t="shared" si="8"/>
        <v>90867.275778817799</v>
      </c>
      <c r="I4" s="97">
        <f t="shared" si="9"/>
        <v>91102.721825352492</v>
      </c>
      <c r="J4" s="97">
        <f t="shared" si="10"/>
        <v>91338.78117200124</v>
      </c>
      <c r="K4" s="97">
        <f t="shared" si="11"/>
        <v>91575.455424752072</v>
      </c>
      <c r="L4" s="97">
        <f t="shared" si="12"/>
        <v>90164.601443270163</v>
      </c>
      <c r="M4" s="96" t="s">
        <v>1023</v>
      </c>
      <c r="N4" s="96">
        <f>196-$AD$19</f>
        <v>189</v>
      </c>
      <c r="O4" s="96">
        <v>0</v>
      </c>
      <c r="P4" s="96">
        <v>0</v>
      </c>
      <c r="Q4" s="96">
        <v>0</v>
      </c>
      <c r="R4" s="96">
        <f t="shared" si="0"/>
        <v>6.1967213114754101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89998.623827316958</v>
      </c>
      <c r="AA4" s="3">
        <f t="shared" si="1"/>
        <v>3616.0770807291669</v>
      </c>
      <c r="AC4">
        <v>20.5</v>
      </c>
    </row>
    <row r="5" spans="1:39" x14ac:dyDescent="0.25">
      <c r="A5" s="92" t="s">
        <v>994</v>
      </c>
      <c r="B5" s="93">
        <f t="shared" si="2"/>
        <v>71639.557422567479</v>
      </c>
      <c r="C5" s="93">
        <f t="shared" si="3"/>
        <v>71059.321072832696</v>
      </c>
      <c r="D5" s="93">
        <f t="shared" si="4"/>
        <v>71639.557422567479</v>
      </c>
      <c r="E5" s="93">
        <f t="shared" si="5"/>
        <v>72224.539745672766</v>
      </c>
      <c r="F5" s="93">
        <f t="shared" si="6"/>
        <v>72814.306927056168</v>
      </c>
      <c r="G5" s="93">
        <f t="shared" si="7"/>
        <v>73408.898170729473</v>
      </c>
      <c r="H5" s="93">
        <f t="shared" si="8"/>
        <v>74008.353002488293</v>
      </c>
      <c r="I5" s="93">
        <f t="shared" si="9"/>
        <v>74612.711272506946</v>
      </c>
      <c r="J5" s="93">
        <f t="shared" si="10"/>
        <v>75222.013158037065</v>
      </c>
      <c r="K5" s="93">
        <f t="shared" si="11"/>
        <v>75836.299166104363</v>
      </c>
      <c r="L5" s="93">
        <f t="shared" si="12"/>
        <v>72224.539745672766</v>
      </c>
      <c r="M5" s="92" t="s">
        <v>1024</v>
      </c>
      <c r="N5" s="92">
        <f>601-$AD$19</f>
        <v>594</v>
      </c>
      <c r="O5" s="92">
        <v>0</v>
      </c>
      <c r="P5" s="92">
        <v>0</v>
      </c>
      <c r="Q5" s="92">
        <v>0</v>
      </c>
      <c r="R5" s="92">
        <f t="shared" si="0"/>
        <v>19.475409836065573</v>
      </c>
      <c r="S5" s="93">
        <v>100000</v>
      </c>
      <c r="T5" s="93">
        <v>73200</v>
      </c>
      <c r="U5" s="93">
        <f t="shared" si="13"/>
        <v>99999.999999999985</v>
      </c>
      <c r="W5">
        <v>97</v>
      </c>
      <c r="X5">
        <v>4</v>
      </c>
      <c r="Y5">
        <f t="shared" si="16"/>
        <v>1185</v>
      </c>
      <c r="Z5" s="3">
        <f t="shared" si="15"/>
        <v>91550.162602673314</v>
      </c>
      <c r="AA5" s="3">
        <f t="shared" si="1"/>
        <v>4862.8517308582905</v>
      </c>
      <c r="AB5" t="s">
        <v>975</v>
      </c>
      <c r="AC5">
        <v>20</v>
      </c>
    </row>
    <row r="6" spans="1:39" x14ac:dyDescent="0.25">
      <c r="A6" s="94" t="s">
        <v>995</v>
      </c>
      <c r="B6" s="95">
        <f t="shared" si="2"/>
        <v>86174.675793618313</v>
      </c>
      <c r="C6" s="95">
        <f t="shared" si="3"/>
        <v>85862.594124146883</v>
      </c>
      <c r="D6" s="95">
        <f t="shared" si="4"/>
        <v>86174.675793618313</v>
      </c>
      <c r="E6" s="95">
        <f t="shared" si="5"/>
        <v>86487.896071092226</v>
      </c>
      <c r="F6" s="95">
        <f t="shared" si="6"/>
        <v>86802.259126381119</v>
      </c>
      <c r="G6" s="95">
        <f t="shared" si="7"/>
        <v>87117.769144610516</v>
      </c>
      <c r="H6" s="95">
        <f t="shared" si="8"/>
        <v>87434.430326305635</v>
      </c>
      <c r="I6" s="95">
        <f t="shared" si="9"/>
        <v>87752.246887421134</v>
      </c>
      <c r="J6" s="95">
        <f t="shared" si="10"/>
        <v>88071.22305941509</v>
      </c>
      <c r="K6" s="95">
        <f t="shared" si="11"/>
        <v>88391.363089310107</v>
      </c>
      <c r="L6" s="95">
        <f t="shared" si="12"/>
        <v>86487.896071092226</v>
      </c>
      <c r="M6" s="94" t="s">
        <v>1025</v>
      </c>
      <c r="N6" s="94">
        <f>272-$AD$19</f>
        <v>265</v>
      </c>
      <c r="O6" s="94">
        <v>0</v>
      </c>
      <c r="P6" s="94">
        <v>0</v>
      </c>
      <c r="Q6" s="94">
        <v>0</v>
      </c>
      <c r="R6" s="94">
        <f t="shared" si="0"/>
        <v>8.6885245901639347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93128.449260042325</v>
      </c>
      <c r="AA6" s="3">
        <f t="shared" si="1"/>
        <v>6130.9254479271194</v>
      </c>
      <c r="AC6">
        <v>19.5</v>
      </c>
    </row>
    <row r="7" spans="1:39" x14ac:dyDescent="0.25">
      <c r="A7" s="96" t="s">
        <v>996</v>
      </c>
      <c r="B7" s="97">
        <f t="shared" si="2"/>
        <v>72774.746931266287</v>
      </c>
      <c r="C7" s="97">
        <f t="shared" si="3"/>
        <v>72212.993336683925</v>
      </c>
      <c r="D7" s="97">
        <f t="shared" si="4"/>
        <v>72774.746931266287</v>
      </c>
      <c r="E7" s="97">
        <f t="shared" si="5"/>
        <v>73340.878255770382</v>
      </c>
      <c r="F7" s="97">
        <f t="shared" si="6"/>
        <v>73911.421486372885</v>
      </c>
      <c r="G7" s="97">
        <f t="shared" si="7"/>
        <v>74486.41106650405</v>
      </c>
      <c r="H7" s="97">
        <f t="shared" si="8"/>
        <v>75065.881708995992</v>
      </c>
      <c r="I7" s="97">
        <f t="shared" si="9"/>
        <v>75649.868398144463</v>
      </c>
      <c r="J7" s="97">
        <f t="shared" si="10"/>
        <v>76238.406391866491</v>
      </c>
      <c r="K7" s="97">
        <f t="shared" si="11"/>
        <v>76831.53122385178</v>
      </c>
      <c r="L7" s="97">
        <f t="shared" si="12"/>
        <v>73340.878255770382</v>
      </c>
      <c r="M7" s="96" t="s">
        <v>1026</v>
      </c>
      <c r="N7" s="96">
        <f>573-$AD$19</f>
        <v>566</v>
      </c>
      <c r="O7" s="96">
        <v>0</v>
      </c>
      <c r="P7" s="96">
        <v>0</v>
      </c>
      <c r="Q7" s="96">
        <v>0</v>
      </c>
      <c r="R7" s="96">
        <f t="shared" si="0"/>
        <v>18.557377049180328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94733.944921764938</v>
      </c>
      <c r="AA7" s="3">
        <f t="shared" si="1"/>
        <v>7420.6620909958747</v>
      </c>
      <c r="AC7">
        <v>19</v>
      </c>
    </row>
    <row r="8" spans="1:39" x14ac:dyDescent="0.25">
      <c r="A8" s="92" t="s">
        <v>997</v>
      </c>
      <c r="B8" s="93">
        <f t="shared" si="2"/>
        <v>85499.928851087112</v>
      </c>
      <c r="C8" s="93">
        <f t="shared" si="3"/>
        <v>85173.963761769104</v>
      </c>
      <c r="D8" s="93">
        <f t="shared" si="4"/>
        <v>85499.928851087112</v>
      </c>
      <c r="E8" s="93">
        <f t="shared" si="5"/>
        <v>85827.145913809465</v>
      </c>
      <c r="F8" s="93">
        <f t="shared" si="6"/>
        <v>86155.619775788466</v>
      </c>
      <c r="G8" s="93">
        <f t="shared" si="7"/>
        <v>86485.355281528988</v>
      </c>
      <c r="H8" s="93">
        <f t="shared" si="8"/>
        <v>86816.357294292087</v>
      </c>
      <c r="I8" s="93">
        <f t="shared" si="9"/>
        <v>87148.630696139779</v>
      </c>
      <c r="J8" s="93">
        <f t="shared" si="10"/>
        <v>87482.180388025779</v>
      </c>
      <c r="K8" s="93">
        <f t="shared" si="11"/>
        <v>87817.011289872869</v>
      </c>
      <c r="L8" s="93">
        <f t="shared" si="12"/>
        <v>85827.145913809465</v>
      </c>
      <c r="M8" s="92" t="s">
        <v>1028</v>
      </c>
      <c r="N8" s="92">
        <f>286-$AD$19</f>
        <v>279</v>
      </c>
      <c r="O8" s="92">
        <v>0</v>
      </c>
      <c r="P8" s="92">
        <v>0</v>
      </c>
      <c r="Q8" s="92">
        <v>0</v>
      </c>
      <c r="R8" s="92">
        <f t="shared" si="0"/>
        <v>9.1475409836065573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96367.118659739121</v>
      </c>
      <c r="AA8" s="3">
        <f t="shared" si="1"/>
        <v>8732.4317350503879</v>
      </c>
      <c r="AC8">
        <v>18.5</v>
      </c>
    </row>
    <row r="9" spans="1:39" x14ac:dyDescent="0.25">
      <c r="A9" s="94" t="s">
        <v>1013</v>
      </c>
      <c r="B9" s="95">
        <f t="shared" si="2"/>
        <v>77150.925448288035</v>
      </c>
      <c r="C9" s="95">
        <f t="shared" si="3"/>
        <v>76664.472698654368</v>
      </c>
      <c r="D9" s="95">
        <f t="shared" si="4"/>
        <v>77150.925448288035</v>
      </c>
      <c r="E9" s="95">
        <f t="shared" si="5"/>
        <v>77640.471569909481</v>
      </c>
      <c r="F9" s="95">
        <f t="shared" si="6"/>
        <v>78133.130777159065</v>
      </c>
      <c r="G9" s="95">
        <f t="shared" si="7"/>
        <v>78628.922909558605</v>
      </c>
      <c r="H9" s="95">
        <f t="shared" si="8"/>
        <v>79127.86793336393</v>
      </c>
      <c r="I9" s="95">
        <f t="shared" si="9"/>
        <v>79629.985942333806</v>
      </c>
      <c r="J9" s="95">
        <f t="shared" si="10"/>
        <v>80135.297158572692</v>
      </c>
      <c r="K9" s="95">
        <f t="shared" si="11"/>
        <v>80643.821933358748</v>
      </c>
      <c r="L9" s="95">
        <f t="shared" si="12"/>
        <v>77640.471569909481</v>
      </c>
      <c r="M9" s="94" t="s">
        <v>1027</v>
      </c>
      <c r="N9" s="94">
        <f>469-$AD$19</f>
        <v>462</v>
      </c>
      <c r="O9" s="94">
        <v>0</v>
      </c>
      <c r="P9" s="94">
        <v>0</v>
      </c>
      <c r="Q9" s="94">
        <v>0</v>
      </c>
      <c r="R9" s="94">
        <f t="shared" si="0"/>
        <v>15.147540983606557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98028.447632466923</v>
      </c>
      <c r="AA9" s="3">
        <f t="shared" si="1"/>
        <v>10066.610777190832</v>
      </c>
      <c r="AC9">
        <v>18</v>
      </c>
    </row>
    <row r="10" spans="1:39" x14ac:dyDescent="0.25">
      <c r="A10" s="96" t="s">
        <v>1014</v>
      </c>
      <c r="B10" s="97">
        <f t="shared" si="2"/>
        <v>77150.925448288035</v>
      </c>
      <c r="C10" s="97">
        <f t="shared" si="3"/>
        <v>76664.472698654368</v>
      </c>
      <c r="D10" s="97">
        <f t="shared" si="4"/>
        <v>77150.925448288035</v>
      </c>
      <c r="E10" s="97">
        <f t="shared" si="5"/>
        <v>77640.471569909481</v>
      </c>
      <c r="F10" s="97">
        <f t="shared" si="6"/>
        <v>78133.130777159065</v>
      </c>
      <c r="G10" s="97">
        <f t="shared" si="7"/>
        <v>78628.922909558605</v>
      </c>
      <c r="H10" s="97">
        <f t="shared" si="8"/>
        <v>79127.86793336393</v>
      </c>
      <c r="I10" s="97">
        <f t="shared" si="9"/>
        <v>79629.985942333806</v>
      </c>
      <c r="J10" s="97">
        <f t="shared" si="10"/>
        <v>80135.297158572692</v>
      </c>
      <c r="K10" s="97">
        <f t="shared" si="11"/>
        <v>80643.821933358748</v>
      </c>
      <c r="L10" s="97">
        <f t="shared" si="12"/>
        <v>77640.471569909481</v>
      </c>
      <c r="M10" s="96" t="s">
        <v>1027</v>
      </c>
      <c r="N10" s="96">
        <f>469-$AD$19</f>
        <v>462</v>
      </c>
      <c r="O10" s="96">
        <v>0</v>
      </c>
      <c r="P10" s="96">
        <v>0</v>
      </c>
      <c r="Q10" s="96">
        <v>0</v>
      </c>
      <c r="R10" s="96">
        <f t="shared" si="0"/>
        <v>15.147540983606557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99718.417224464152</v>
      </c>
      <c r="AA10" s="3">
        <f t="shared" si="1"/>
        <v>11423.582044634508</v>
      </c>
      <c r="AC10">
        <v>17.5</v>
      </c>
      <c r="AF10" s="26"/>
    </row>
    <row r="11" spans="1:39" x14ac:dyDescent="0.25">
      <c r="A11" s="92" t="s">
        <v>1015</v>
      </c>
      <c r="B11" s="93">
        <f t="shared" si="2"/>
        <v>70799.800984897083</v>
      </c>
      <c r="C11" s="93">
        <f t="shared" si="3"/>
        <v>70206.178420880693</v>
      </c>
      <c r="D11" s="93">
        <f t="shared" si="4"/>
        <v>70799.800984897083</v>
      </c>
      <c r="E11" s="93">
        <f t="shared" si="5"/>
        <v>71398.45110622466</v>
      </c>
      <c r="F11" s="93">
        <f t="shared" si="6"/>
        <v>72002.171434390271</v>
      </c>
      <c r="G11" s="93">
        <f t="shared" si="7"/>
        <v>72611.00498128566</v>
      </c>
      <c r="H11" s="93">
        <f t="shared" si="8"/>
        <v>73224.995124309105</v>
      </c>
      <c r="I11" s="93">
        <f t="shared" si="9"/>
        <v>73844.185609424487</v>
      </c>
      <c r="J11" s="93">
        <f t="shared" si="10"/>
        <v>74468.620554330788</v>
      </c>
      <c r="K11" s="93">
        <f t="shared" si="11"/>
        <v>75098.344451634155</v>
      </c>
      <c r="L11" s="93">
        <f t="shared" si="12"/>
        <v>71398.45110622466</v>
      </c>
      <c r="M11" s="92" t="s">
        <v>1031</v>
      </c>
      <c r="N11" s="92">
        <f>622-$AD$19</f>
        <v>615</v>
      </c>
      <c r="O11" s="92">
        <v>0</v>
      </c>
      <c r="P11" s="92">
        <v>0</v>
      </c>
      <c r="Q11" s="92">
        <v>0</v>
      </c>
      <c r="R11" s="92">
        <f t="shared" si="0"/>
        <v>20.16393442622951</v>
      </c>
      <c r="S11" s="93">
        <v>100000</v>
      </c>
      <c r="T11" s="93">
        <v>71800</v>
      </c>
      <c r="U11" s="93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101437.52118807341</v>
      </c>
      <c r="AA11" s="3">
        <f t="shared" si="1"/>
        <v>12803.73490456368</v>
      </c>
      <c r="AC11">
        <v>17</v>
      </c>
      <c r="AF11" s="26"/>
    </row>
    <row r="12" spans="1:39" x14ac:dyDescent="0.25">
      <c r="A12" s="94" t="s">
        <v>1016</v>
      </c>
      <c r="B12" s="95">
        <f>$S12/(1+($AC$2-$O12+$P12)/36500)^$N12</f>
        <v>86805.993641830297</v>
      </c>
      <c r="C12" s="95">
        <f>$S12/(1+($AC$3-$O12+$P12)/36500)^$N12</f>
        <v>86507.020891126478</v>
      </c>
      <c r="D12" s="95">
        <f t="shared" si="4"/>
        <v>86805.993641830297</v>
      </c>
      <c r="E12" s="95">
        <f t="shared" si="5"/>
        <v>87106.003772344979</v>
      </c>
      <c r="F12" s="95">
        <f t="shared" si="6"/>
        <v>87407.054896469053</v>
      </c>
      <c r="G12" s="95">
        <f t="shared" si="7"/>
        <v>87709.150640625521</v>
      </c>
      <c r="H12" s="95">
        <f t="shared" si="8"/>
        <v>88012.294643934656</v>
      </c>
      <c r="I12" s="95">
        <f t="shared" si="9"/>
        <v>88316.490558233025</v>
      </c>
      <c r="J12" s="95">
        <f t="shared" si="10"/>
        <v>88621.742048134241</v>
      </c>
      <c r="K12" s="95">
        <f t="shared" si="11"/>
        <v>88928.052791077629</v>
      </c>
      <c r="L12" s="95">
        <f t="shared" si="12"/>
        <v>87106.003772344979</v>
      </c>
      <c r="M12" s="94" t="s">
        <v>1032</v>
      </c>
      <c r="N12" s="94">
        <f>259-$AD$19</f>
        <v>252</v>
      </c>
      <c r="O12" s="94">
        <v>0</v>
      </c>
      <c r="P12" s="94">
        <v>0</v>
      </c>
      <c r="Q12" s="94">
        <v>0</v>
      </c>
      <c r="R12" s="94">
        <f t="shared" si="0"/>
        <v>8.2622950819672134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103186.26178772197</v>
      </c>
      <c r="AA12" s="3">
        <f t="shared" si="1"/>
        <v>14207.465375849977</v>
      </c>
      <c r="AF12" s="26"/>
    </row>
    <row r="13" spans="1:39" x14ac:dyDescent="0.25">
      <c r="A13" s="96" t="s">
        <v>1017</v>
      </c>
      <c r="B13" s="97">
        <f t="shared" si="2"/>
        <v>68339.133056400184</v>
      </c>
      <c r="C13" s="97">
        <f t="shared" si="3"/>
        <v>67707.717338810995</v>
      </c>
      <c r="D13" s="97">
        <f t="shared" si="4"/>
        <v>68339.133056400184</v>
      </c>
      <c r="E13" s="97">
        <f t="shared" si="5"/>
        <v>68976.44587617254</v>
      </c>
      <c r="F13" s="97">
        <f t="shared" si="6"/>
        <v>69619.71095595407</v>
      </c>
      <c r="G13" s="97">
        <f t="shared" si="7"/>
        <v>70268.983970217669</v>
      </c>
      <c r="H13" s="97">
        <f t="shared" si="8"/>
        <v>70924.321114991602</v>
      </c>
      <c r="I13" s="97">
        <f t="shared" si="9"/>
        <v>71585.779112696822</v>
      </c>
      <c r="J13" s="97">
        <f t="shared" si="10"/>
        <v>72253.415217120229</v>
      </c>
      <c r="K13" s="97">
        <f t="shared" si="11"/>
        <v>72927.287218408441</v>
      </c>
      <c r="L13" s="97">
        <f t="shared" si="12"/>
        <v>68976.44587617254</v>
      </c>
      <c r="M13" s="96" t="s">
        <v>1033</v>
      </c>
      <c r="N13" s="96">
        <f>685-$AD$19</f>
        <v>678</v>
      </c>
      <c r="O13" s="96">
        <v>0</v>
      </c>
      <c r="P13" s="96">
        <v>0</v>
      </c>
      <c r="Q13" s="96">
        <v>0</v>
      </c>
      <c r="R13" s="96">
        <f t="shared" si="0"/>
        <v>22.229508196721312</v>
      </c>
      <c r="S13" s="97">
        <v>100000</v>
      </c>
      <c r="T13" s="97">
        <v>70000</v>
      </c>
      <c r="U13" s="97">
        <f t="shared" si="13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104965.14994666657</v>
      </c>
      <c r="AA13" s="3">
        <f t="shared" si="1"/>
        <v>15635.176242687414</v>
      </c>
      <c r="AF13" s="26"/>
    </row>
    <row r="14" spans="1:39" x14ac:dyDescent="0.25">
      <c r="A14" s="92" t="s">
        <v>1018</v>
      </c>
      <c r="B14" s="93">
        <f t="shared" si="2"/>
        <v>69422.02454359355</v>
      </c>
      <c r="C14" s="93">
        <f t="shared" si="3"/>
        <v>68806.975175265718</v>
      </c>
      <c r="D14" s="93">
        <f t="shared" si="4"/>
        <v>69422.02454359355</v>
      </c>
      <c r="E14" s="93">
        <f t="shared" si="5"/>
        <v>70042.580227355444</v>
      </c>
      <c r="F14" s="93">
        <f t="shared" si="6"/>
        <v>70668.691599026264</v>
      </c>
      <c r="G14" s="93">
        <f t="shared" si="7"/>
        <v>71300.408474435026</v>
      </c>
      <c r="H14" s="93">
        <f t="shared" si="8"/>
        <v>71937.781116812621</v>
      </c>
      <c r="I14" s="93">
        <f t="shared" si="9"/>
        <v>72580.860240761947</v>
      </c>
      <c r="J14" s="93">
        <f t="shared" si="10"/>
        <v>73229.697016351813</v>
      </c>
      <c r="K14" s="93">
        <f t="shared" si="11"/>
        <v>73884.343073221986</v>
      </c>
      <c r="L14" s="93">
        <f t="shared" si="12"/>
        <v>70042.580227355444</v>
      </c>
      <c r="M14" s="92" t="s">
        <v>1034</v>
      </c>
      <c r="N14" s="92">
        <f>657-$AD$19</f>
        <v>650</v>
      </c>
      <c r="O14" s="92">
        <v>0</v>
      </c>
      <c r="P14" s="92">
        <v>0</v>
      </c>
      <c r="Q14" s="92">
        <v>0</v>
      </c>
      <c r="R14" s="92">
        <f t="shared" si="0"/>
        <v>21.311475409836067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106774.70539626796</v>
      </c>
      <c r="AA14" s="3">
        <f t="shared" si="1"/>
        <v>17087.277170166657</v>
      </c>
      <c r="AF14" s="26"/>
    </row>
    <row r="15" spans="1:39" x14ac:dyDescent="0.25">
      <c r="A15" s="94" t="s">
        <v>1019</v>
      </c>
      <c r="B15" s="95">
        <f t="shared" si="2"/>
        <v>69422.02454359355</v>
      </c>
      <c r="C15" s="95">
        <f t="shared" si="3"/>
        <v>68806.975175265718</v>
      </c>
      <c r="D15" s="95">
        <f t="shared" si="4"/>
        <v>69422.02454359355</v>
      </c>
      <c r="E15" s="95">
        <f t="shared" si="5"/>
        <v>70042.580227355444</v>
      </c>
      <c r="F15" s="95">
        <f t="shared" si="6"/>
        <v>70668.691599026264</v>
      </c>
      <c r="G15" s="95">
        <f t="shared" si="7"/>
        <v>71300.408474435026</v>
      </c>
      <c r="H15" s="95">
        <f t="shared" si="8"/>
        <v>71937.781116812621</v>
      </c>
      <c r="I15" s="95">
        <f t="shared" si="9"/>
        <v>72580.860240761947</v>
      </c>
      <c r="J15" s="95">
        <f t="shared" si="10"/>
        <v>73229.697016351813</v>
      </c>
      <c r="K15" s="95">
        <f t="shared" si="11"/>
        <v>73884.343073221986</v>
      </c>
      <c r="L15" s="95">
        <f t="shared" si="12"/>
        <v>70042.580227355444</v>
      </c>
      <c r="M15" s="94" t="s">
        <v>1034</v>
      </c>
      <c r="N15" s="94">
        <f>657-$AD$19</f>
        <v>650</v>
      </c>
      <c r="O15" s="94">
        <v>0</v>
      </c>
      <c r="P15" s="94">
        <v>0</v>
      </c>
      <c r="Q15" s="94">
        <v>0</v>
      </c>
      <c r="R15" s="94">
        <f t="shared" si="0"/>
        <v>21.311475409836067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108615.45682783905</v>
      </c>
      <c r="AA15" s="3">
        <f t="shared" si="1"/>
        <v>18564.18482182367</v>
      </c>
      <c r="AC15" s="87">
        <f>AE2*((1+$AC$2/36500)^365)</f>
        <v>122745.44266759702</v>
      </c>
      <c r="AD15">
        <v>21.4</v>
      </c>
      <c r="AF15" s="26"/>
    </row>
    <row r="16" spans="1:39" x14ac:dyDescent="0.25">
      <c r="A16" s="96" t="s">
        <v>1020</v>
      </c>
      <c r="B16" s="97">
        <f t="shared" si="2"/>
        <v>71639.557422567479</v>
      </c>
      <c r="C16" s="97">
        <f t="shared" si="3"/>
        <v>71059.321072832696</v>
      </c>
      <c r="D16" s="97">
        <f t="shared" si="4"/>
        <v>71639.557422567479</v>
      </c>
      <c r="E16" s="97">
        <f t="shared" si="5"/>
        <v>72224.539745672766</v>
      </c>
      <c r="F16" s="97">
        <f t="shared" si="6"/>
        <v>72814.306927056168</v>
      </c>
      <c r="G16" s="97">
        <f t="shared" si="7"/>
        <v>73408.898170729473</v>
      </c>
      <c r="H16" s="97">
        <f t="shared" si="8"/>
        <v>74008.353002488293</v>
      </c>
      <c r="I16" s="97">
        <f t="shared" si="9"/>
        <v>74612.711272506946</v>
      </c>
      <c r="J16" s="97">
        <f t="shared" si="10"/>
        <v>75222.013158037065</v>
      </c>
      <c r="K16" s="97">
        <f t="shared" si="11"/>
        <v>75836.299166104363</v>
      </c>
      <c r="L16" s="97">
        <f t="shared" si="12"/>
        <v>72224.539745672766</v>
      </c>
      <c r="M16" s="96" t="s">
        <v>1024</v>
      </c>
      <c r="N16" s="96">
        <f>601-$AD$19</f>
        <v>594</v>
      </c>
      <c r="O16" s="96">
        <v>0</v>
      </c>
      <c r="P16" s="96">
        <v>0</v>
      </c>
      <c r="Q16" s="96">
        <v>0</v>
      </c>
      <c r="R16" s="96">
        <f t="shared" si="0"/>
        <v>19.475409836065573</v>
      </c>
      <c r="S16" s="97">
        <v>100000</v>
      </c>
      <c r="T16" s="97">
        <v>73100</v>
      </c>
      <c r="U16" s="97">
        <f t="shared" si="13"/>
        <v>99999.999999999985</v>
      </c>
      <c r="W16">
        <v>98</v>
      </c>
      <c r="X16">
        <v>3</v>
      </c>
      <c r="Y16">
        <f t="shared" si="16"/>
        <v>1185</v>
      </c>
      <c r="Z16" s="3">
        <f t="shared" si="15"/>
        <v>110487.94204711066</v>
      </c>
      <c r="AA16" s="3">
        <f t="shared" si="1"/>
        <v>20066.322979196491</v>
      </c>
      <c r="AF16" s="26"/>
    </row>
    <row r="17" spans="1:32" x14ac:dyDescent="0.25">
      <c r="A17" s="92" t="s">
        <v>1038</v>
      </c>
      <c r="B17" s="93">
        <f t="shared" si="2"/>
        <v>85740.615953871005</v>
      </c>
      <c r="C17" s="93">
        <f t="shared" si="3"/>
        <v>84123.653924935425</v>
      </c>
      <c r="D17" s="93">
        <f t="shared" si="4"/>
        <v>85740.615953871005</v>
      </c>
      <c r="E17" s="93">
        <f t="shared" si="5"/>
        <v>87388.680808107296</v>
      </c>
      <c r="F17" s="93">
        <f t="shared" si="6"/>
        <v>89068.447199582384</v>
      </c>
      <c r="G17" s="93">
        <f t="shared" si="7"/>
        <v>90780.525373634038</v>
      </c>
      <c r="H17" s="93">
        <f t="shared" si="8"/>
        <v>92525.537331259839</v>
      </c>
      <c r="I17" s="93">
        <f t="shared" si="9"/>
        <v>94304.117055582334</v>
      </c>
      <c r="J17" s="93">
        <f t="shared" si="10"/>
        <v>96116.910743185901</v>
      </c>
      <c r="K17" s="93">
        <f t="shared" si="11"/>
        <v>97964.577039211785</v>
      </c>
      <c r="L17" s="93">
        <f t="shared" si="12"/>
        <v>87388.680808107296</v>
      </c>
      <c r="M17" s="92" t="s">
        <v>1039</v>
      </c>
      <c r="N17" s="92">
        <f>1397-$AD$19</f>
        <v>1390</v>
      </c>
      <c r="O17" s="92">
        <v>17</v>
      </c>
      <c r="P17" s="92">
        <f>$AI$2</f>
        <v>0.54</v>
      </c>
      <c r="Q17" s="92">
        <v>6</v>
      </c>
      <c r="R17" s="92">
        <f t="shared" si="0"/>
        <v>45.57377049180328</v>
      </c>
      <c r="S17" s="93">
        <v>100000</v>
      </c>
      <c r="T17" s="93">
        <v>96000</v>
      </c>
      <c r="U17" s="93">
        <f t="shared" si="13"/>
        <v>187127.91589757224</v>
      </c>
      <c r="W17">
        <v>98</v>
      </c>
      <c r="X17">
        <v>4</v>
      </c>
      <c r="Y17">
        <f t="shared" si="16"/>
        <v>1185</v>
      </c>
      <c r="Z17" s="3">
        <f t="shared" si="15"/>
        <v>112392.70813136034</v>
      </c>
      <c r="AA17" s="3">
        <f t="shared" si="1"/>
        <v>21594.12266342443</v>
      </c>
      <c r="AF17" s="26"/>
    </row>
    <row r="18" spans="1:32" x14ac:dyDescent="0.25">
      <c r="A18" s="94" t="s">
        <v>986</v>
      </c>
      <c r="B18" s="95">
        <f>$S18/(1+($AC$2-$O18+$P18)/36500)^$N18</f>
        <v>99977.112213401109</v>
      </c>
      <c r="C18" s="95">
        <f t="shared" si="3"/>
        <v>99217.181543398285</v>
      </c>
      <c r="D18" s="95">
        <f>$S18/(1+($AC$4-$O18+$P18)/36500)^$N18</f>
        <v>99977.112213401109</v>
      </c>
      <c r="E18" s="95">
        <f t="shared" si="5"/>
        <v>100742.8739235378</v>
      </c>
      <c r="F18" s="95">
        <f t="shared" si="6"/>
        <v>101514.51149689525</v>
      </c>
      <c r="G18" s="95">
        <f t="shared" si="7"/>
        <v>102292.07010172079</v>
      </c>
      <c r="H18" s="95">
        <f t="shared" si="8"/>
        <v>103075.5952541124</v>
      </c>
      <c r="I18" s="95">
        <f t="shared" si="9"/>
        <v>103865.13282066579</v>
      </c>
      <c r="J18" s="95">
        <f t="shared" si="10"/>
        <v>104660.72902123263</v>
      </c>
      <c r="K18" s="95">
        <f t="shared" si="11"/>
        <v>105462.43043160041</v>
      </c>
      <c r="L18" s="95">
        <f t="shared" si="12"/>
        <v>100742.8739235378</v>
      </c>
      <c r="M18" s="94" t="s">
        <v>1005</v>
      </c>
      <c r="N18" s="94">
        <f>564-$AD$19</f>
        <v>557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18.262295081967213</v>
      </c>
      <c r="S18" s="95">
        <v>100000</v>
      </c>
      <c r="T18" s="95">
        <v>100000</v>
      </c>
      <c r="U18" s="95">
        <f t="shared" si="13"/>
        <v>136686.37666701037</v>
      </c>
      <c r="W18">
        <v>98</v>
      </c>
      <c r="X18">
        <v>5</v>
      </c>
      <c r="Y18">
        <f t="shared" si="16"/>
        <v>1185</v>
      </c>
      <c r="Z18" s="3">
        <f t="shared" si="15"/>
        <v>114330.31158924995</v>
      </c>
      <c r="AA18" s="3">
        <f t="shared" si="1"/>
        <v>23148.022258924597</v>
      </c>
      <c r="AC18" t="s">
        <v>1036</v>
      </c>
      <c r="AD18" t="s">
        <v>1080</v>
      </c>
      <c r="AF18" s="26"/>
    </row>
    <row r="19" spans="1:32" x14ac:dyDescent="0.25">
      <c r="A19" s="96" t="s">
        <v>987</v>
      </c>
      <c r="B19" s="97">
        <f t="shared" si="2"/>
        <v>92416.873543474809</v>
      </c>
      <c r="C19" s="97">
        <f t="shared" si="3"/>
        <v>91693.151840273727</v>
      </c>
      <c r="D19" s="97">
        <f t="shared" si="4"/>
        <v>92416.873543474809</v>
      </c>
      <c r="E19" s="97">
        <f t="shared" si="5"/>
        <v>93146.317514928931</v>
      </c>
      <c r="F19" s="97">
        <f t="shared" si="6"/>
        <v>93881.529078316002</v>
      </c>
      <c r="G19" s="97">
        <f t="shared" si="7"/>
        <v>94622.55391698645</v>
      </c>
      <c r="H19" s="97">
        <f t="shared" si="8"/>
        <v>95369.438076723978</v>
      </c>
      <c r="I19" s="97">
        <f t="shared" si="9"/>
        <v>96122.227968698237</v>
      </c>
      <c r="J19" s="97">
        <f t="shared" si="10"/>
        <v>96880.970372345429</v>
      </c>
      <c r="K19" s="97">
        <f t="shared" si="11"/>
        <v>97645.712438260496</v>
      </c>
      <c r="L19" s="97">
        <f t="shared" si="12"/>
        <v>93146.317514928931</v>
      </c>
      <c r="M19" s="96" t="s">
        <v>1006</v>
      </c>
      <c r="N19" s="96">
        <f>581-$AD$19</f>
        <v>574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18.819672131147541</v>
      </c>
      <c r="S19" s="97">
        <v>100000</v>
      </c>
      <c r="T19" s="97">
        <v>92000</v>
      </c>
      <c r="U19" s="97">
        <f t="shared" si="13"/>
        <v>127562.01509376244</v>
      </c>
      <c r="W19">
        <v>98</v>
      </c>
      <c r="X19">
        <v>6</v>
      </c>
      <c r="Y19">
        <f t="shared" si="16"/>
        <v>1185</v>
      </c>
      <c r="Z19" s="3">
        <f t="shared" si="15"/>
        <v>116301.3185234188</v>
      </c>
      <c r="AA19" s="3">
        <f t="shared" si="1"/>
        <v>24728.467639181225</v>
      </c>
      <c r="AC19" t="s">
        <v>1089</v>
      </c>
      <c r="AD19">
        <v>7</v>
      </c>
      <c r="AF19" s="26"/>
    </row>
    <row r="20" spans="1:32" x14ac:dyDescent="0.25">
      <c r="A20" s="92" t="s">
        <v>980</v>
      </c>
      <c r="B20" s="93">
        <f>$S20/(1+($AC$2-$O20+$P20)/36500)^$N20</f>
        <v>99974.277286749479</v>
      </c>
      <c r="C20" s="93">
        <f t="shared" si="3"/>
        <v>99120.63518669155</v>
      </c>
      <c r="D20" s="93">
        <f t="shared" si="4"/>
        <v>99974.277286749479</v>
      </c>
      <c r="E20" s="93">
        <f t="shared" si="5"/>
        <v>100835.2829285374</v>
      </c>
      <c r="F20" s="93">
        <f t="shared" si="6"/>
        <v>101703.71573237239</v>
      </c>
      <c r="G20" s="93">
        <f t="shared" si="7"/>
        <v>102579.63986911131</v>
      </c>
      <c r="H20" s="93">
        <f t="shared" si="8"/>
        <v>103463.1200649535</v>
      </c>
      <c r="I20" s="93">
        <f t="shared" si="9"/>
        <v>104354.22160621329</v>
      </c>
      <c r="J20" s="93">
        <f t="shared" si="10"/>
        <v>105253.01034423601</v>
      </c>
      <c r="K20" s="93">
        <f t="shared" si="11"/>
        <v>106159.55270024447</v>
      </c>
      <c r="L20" s="93">
        <f t="shared" si="12"/>
        <v>100835.2829285374</v>
      </c>
      <c r="M20" s="92" t="s">
        <v>1007</v>
      </c>
      <c r="N20" s="92">
        <f>633-$AD$19</f>
        <v>626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20.524590163934427</v>
      </c>
      <c r="S20" s="93">
        <v>100000</v>
      </c>
      <c r="T20" s="93">
        <v>100000</v>
      </c>
      <c r="U20" s="93">
        <f t="shared" si="13"/>
        <v>142081.84572546332</v>
      </c>
      <c r="W20">
        <v>98</v>
      </c>
      <c r="X20" s="9">
        <v>7</v>
      </c>
      <c r="Y20">
        <f t="shared" si="16"/>
        <v>1185</v>
      </c>
      <c r="Z20" s="3">
        <f t="shared" si="15"/>
        <v>118306.30479587983</v>
      </c>
      <c r="AA20" s="3">
        <f t="shared" si="1"/>
        <v>26335.912294683905</v>
      </c>
      <c r="AF20" s="26"/>
    </row>
    <row r="21" spans="1:32" x14ac:dyDescent="0.25">
      <c r="A21" s="94" t="s">
        <v>973</v>
      </c>
      <c r="B21" s="95">
        <f t="shared" si="2"/>
        <v>99971.483524638737</v>
      </c>
      <c r="C21" s="95">
        <f t="shared" si="3"/>
        <v>99025.579967936676</v>
      </c>
      <c r="D21" s="95">
        <f t="shared" si="4"/>
        <v>99971.483524638737</v>
      </c>
      <c r="E21" s="95">
        <f t="shared" si="5"/>
        <v>100926.43560297029</v>
      </c>
      <c r="F21" s="95">
        <f t="shared" si="6"/>
        <v>101890.52288691656</v>
      </c>
      <c r="G21" s="95">
        <f t="shared" si="7"/>
        <v>102863.83289207319</v>
      </c>
      <c r="H21" s="95">
        <f t="shared" si="8"/>
        <v>103846.45397367052</v>
      </c>
      <c r="I21" s="95">
        <f t="shared" si="9"/>
        <v>104838.47533459462</v>
      </c>
      <c r="J21" s="95">
        <f t="shared" si="10"/>
        <v>105839.98703359968</v>
      </c>
      <c r="K21" s="95">
        <f t="shared" si="11"/>
        <v>106851.07999347411</v>
      </c>
      <c r="L21" s="95">
        <f t="shared" si="12"/>
        <v>100926.43560297029</v>
      </c>
      <c r="M21" s="94" t="s">
        <v>1008</v>
      </c>
      <c r="N21" s="94">
        <f>701-$AD$19</f>
        <v>694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22.754098360655739</v>
      </c>
      <c r="S21" s="95">
        <v>100000</v>
      </c>
      <c r="T21" s="95">
        <v>100000</v>
      </c>
      <c r="U21" s="95">
        <f t="shared" si="13"/>
        <v>147607.4498977382</v>
      </c>
      <c r="W21">
        <v>98</v>
      </c>
      <c r="X21">
        <v>8</v>
      </c>
      <c r="Y21">
        <f t="shared" si="16"/>
        <v>1185</v>
      </c>
      <c r="Z21" s="3">
        <f t="shared" si="15"/>
        <v>120345.85619626714</v>
      </c>
      <c r="AA21" s="3">
        <f t="shared" si="1"/>
        <v>27970.817463051422</v>
      </c>
      <c r="AE21" s="25"/>
      <c r="AF21" s="26"/>
    </row>
    <row r="22" spans="1:32" x14ac:dyDescent="0.25">
      <c r="A22" s="96" t="s">
        <v>988</v>
      </c>
      <c r="B22" s="97">
        <f t="shared" si="2"/>
        <v>94218.454522620159</v>
      </c>
      <c r="C22" s="97">
        <f t="shared" si="3"/>
        <v>93292.548753978641</v>
      </c>
      <c r="D22" s="97">
        <f t="shared" si="4"/>
        <v>94218.454522620159</v>
      </c>
      <c r="E22" s="97">
        <f t="shared" si="5"/>
        <v>95153.562551854877</v>
      </c>
      <c r="F22" s="97">
        <f t="shared" si="6"/>
        <v>96097.964427750776</v>
      </c>
      <c r="G22" s="97">
        <f t="shared" si="7"/>
        <v>97051.752649127404</v>
      </c>
      <c r="H22" s="97">
        <f t="shared" si="8"/>
        <v>98015.02063674487</v>
      </c>
      <c r="I22" s="97">
        <f t="shared" si="9"/>
        <v>98987.862742412472</v>
      </c>
      <c r="J22" s="97">
        <f t="shared" si="10"/>
        <v>99970.374258395546</v>
      </c>
      <c r="K22" s="97">
        <f t="shared" si="11"/>
        <v>100962.6514266828</v>
      </c>
      <c r="L22" s="97">
        <f t="shared" si="12"/>
        <v>95153.562551854877</v>
      </c>
      <c r="M22" s="96" t="s">
        <v>1037</v>
      </c>
      <c r="N22" s="96">
        <f>728-$AD$19</f>
        <v>721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23.639344262295083</v>
      </c>
      <c r="S22" s="97">
        <v>100000</v>
      </c>
      <c r="T22" s="97">
        <v>95000</v>
      </c>
      <c r="U22" s="97">
        <f t="shared" si="13"/>
        <v>141238.16809653686</v>
      </c>
      <c r="W22">
        <v>98</v>
      </c>
      <c r="X22" s="9">
        <v>9</v>
      </c>
      <c r="Y22">
        <f t="shared" si="16"/>
        <v>1185</v>
      </c>
      <c r="Z22" s="3">
        <f t="shared" si="15"/>
        <v>122420.56861298405</v>
      </c>
      <c r="AA22" s="3">
        <f t="shared" si="1"/>
        <v>29633.652261378549</v>
      </c>
      <c r="AE22" s="25"/>
      <c r="AF22" s="26"/>
    </row>
    <row r="23" spans="1:32" x14ac:dyDescent="0.25">
      <c r="A23" s="92" t="s">
        <v>989</v>
      </c>
      <c r="B23" s="93">
        <f t="shared" si="2"/>
        <v>91281.183593135225</v>
      </c>
      <c r="C23" s="93">
        <f t="shared" si="3"/>
        <v>90454.783276227565</v>
      </c>
      <c r="D23" s="93">
        <f t="shared" si="4"/>
        <v>91281.183593135225</v>
      </c>
      <c r="E23" s="93">
        <f t="shared" si="5"/>
        <v>92115.145427350479</v>
      </c>
      <c r="F23" s="93">
        <f t="shared" si="6"/>
        <v>92956.738071301035</v>
      </c>
      <c r="G23" s="93">
        <f t="shared" si="7"/>
        <v>93806.031453420408</v>
      </c>
      <c r="H23" s="93">
        <f t="shared" si="8"/>
        <v>94663.096143884512</v>
      </c>
      <c r="I23" s="93">
        <f t="shared" si="9"/>
        <v>95528.003360592193</v>
      </c>
      <c r="J23" s="93">
        <f t="shared" si="10"/>
        <v>96400.824975091993</v>
      </c>
      <c r="K23" s="93">
        <f t="shared" si="11"/>
        <v>97281.633518550734</v>
      </c>
      <c r="L23" s="93">
        <f t="shared" si="12"/>
        <v>92115.145427350479</v>
      </c>
      <c r="M23" s="92" t="s">
        <v>1009</v>
      </c>
      <c r="N23" s="92">
        <f>671-$AD$19</f>
        <v>664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21.770491803278688</v>
      </c>
      <c r="S23" s="93">
        <v>100000</v>
      </c>
      <c r="T23" s="93">
        <v>90600</v>
      </c>
      <c r="U23" s="93">
        <f t="shared" si="13"/>
        <v>132525.02437418193</v>
      </c>
      <c r="W23">
        <v>98</v>
      </c>
      <c r="X23">
        <v>10</v>
      </c>
      <c r="Y23">
        <f t="shared" si="16"/>
        <v>1185</v>
      </c>
      <c r="Z23" s="3">
        <f t="shared" si="15"/>
        <v>124531.04820730165</v>
      </c>
      <c r="AA23" s="3">
        <f t="shared" si="1"/>
        <v>31324.893820843765</v>
      </c>
      <c r="AC23" t="s">
        <v>976</v>
      </c>
      <c r="AD23" t="s">
        <v>1090</v>
      </c>
      <c r="AE23" s="25"/>
      <c r="AF23" s="26"/>
    </row>
    <row r="24" spans="1:32" x14ac:dyDescent="0.25">
      <c r="A24" s="94" t="s">
        <v>990</v>
      </c>
      <c r="B24" s="95">
        <f t="shared" si="2"/>
        <v>85058.960665236125</v>
      </c>
      <c r="C24" s="95">
        <f t="shared" si="3"/>
        <v>83927.196858222043</v>
      </c>
      <c r="D24" s="95">
        <f>$S24/(1+($AC$4-$O24+$P24)/36500)^$N24</f>
        <v>85058.960665236125</v>
      </c>
      <c r="E24" s="95">
        <f t="shared" si="5"/>
        <v>86206.002197761132</v>
      </c>
      <c r="F24" s="95">
        <f t="shared" si="6"/>
        <v>87368.527903942653</v>
      </c>
      <c r="G24" s="95">
        <f t="shared" si="7"/>
        <v>88546.747024572192</v>
      </c>
      <c r="H24" s="95">
        <f t="shared" si="8"/>
        <v>89740.871630798312</v>
      </c>
      <c r="I24" s="95">
        <f t="shared" si="9"/>
        <v>90951.116662624234</v>
      </c>
      <c r="J24" s="95">
        <f t="shared" si="10"/>
        <v>92177.699967578374</v>
      </c>
      <c r="K24" s="95">
        <f t="shared" si="11"/>
        <v>93420.84234023992</v>
      </c>
      <c r="L24" s="95">
        <f t="shared" si="12"/>
        <v>86206.002197761132</v>
      </c>
      <c r="M24" s="94" t="s">
        <v>1010</v>
      </c>
      <c r="N24" s="94">
        <f>985-$AD$19</f>
        <v>978</v>
      </c>
      <c r="O24" s="94">
        <v>15</v>
      </c>
      <c r="P24" s="94">
        <f>$AI$2</f>
        <v>0.54</v>
      </c>
      <c r="Q24" s="94">
        <v>6</v>
      </c>
      <c r="R24" s="94">
        <f t="shared" si="0"/>
        <v>32.065573770491802</v>
      </c>
      <c r="S24" s="95">
        <v>100000</v>
      </c>
      <c r="T24" s="95">
        <v>85800</v>
      </c>
      <c r="U24" s="95">
        <f t="shared" si="13"/>
        <v>147301.00523567299</v>
      </c>
      <c r="W24">
        <v>98</v>
      </c>
      <c r="X24">
        <v>11</v>
      </c>
      <c r="Y24">
        <f t="shared" si="16"/>
        <v>1185</v>
      </c>
      <c r="Z24" s="3">
        <f t="shared" si="15"/>
        <v>126677.91159045878</v>
      </c>
      <c r="AA24" s="3">
        <f t="shared" si="1"/>
        <v>33045.027423616513</v>
      </c>
      <c r="AC24">
        <v>85600</v>
      </c>
      <c r="AD24">
        <v>980</v>
      </c>
      <c r="AE24" s="3">
        <f>AC24*(1+AC2/36500)^AD24</f>
        <v>148404.51168199812</v>
      </c>
      <c r="AF24" s="26"/>
    </row>
    <row r="25" spans="1:32" x14ac:dyDescent="0.25">
      <c r="A25" s="96" t="s">
        <v>964</v>
      </c>
      <c r="B25" s="97">
        <f t="shared" si="2"/>
        <v>81882.157377821699</v>
      </c>
      <c r="C25" s="97">
        <f t="shared" si="3"/>
        <v>81484.03952039365</v>
      </c>
      <c r="D25" s="97">
        <f t="shared" si="4"/>
        <v>81882.157377821699</v>
      </c>
      <c r="E25" s="97">
        <f t="shared" si="5"/>
        <v>82282.225865435714</v>
      </c>
      <c r="F25" s="97">
        <f t="shared" si="6"/>
        <v>82684.254567513679</v>
      </c>
      <c r="G25" s="97">
        <f t="shared" si="7"/>
        <v>83088.253115538348</v>
      </c>
      <c r="H25" s="97">
        <f t="shared" si="8"/>
        <v>83494.231188468591</v>
      </c>
      <c r="I25" s="97">
        <f t="shared" si="9"/>
        <v>83902.198512939794</v>
      </c>
      <c r="J25" s="97">
        <f t="shared" si="10"/>
        <v>84312.164863520913</v>
      </c>
      <c r="K25" s="97">
        <f t="shared" si="11"/>
        <v>84724.14006295662</v>
      </c>
      <c r="L25" s="97">
        <f t="shared" si="12"/>
        <v>82282.225865435714</v>
      </c>
      <c r="M25" s="96" t="s">
        <v>1011</v>
      </c>
      <c r="N25" s="96">
        <f>363-$AD$19</f>
        <v>356</v>
      </c>
      <c r="O25" s="96">
        <v>0</v>
      </c>
      <c r="P25" s="96">
        <v>0</v>
      </c>
      <c r="Q25" s="96">
        <v>0</v>
      </c>
      <c r="R25" s="96">
        <f t="shared" si="0"/>
        <v>11.672131147540984</v>
      </c>
      <c r="S25" s="97">
        <v>100000</v>
      </c>
      <c r="T25" s="97">
        <v>82800</v>
      </c>
      <c r="U25" s="97">
        <f>B25*(1+$AC$2/36500)^N25</f>
        <v>100000.00000000001</v>
      </c>
      <c r="W25">
        <v>98</v>
      </c>
      <c r="X25">
        <v>12</v>
      </c>
      <c r="Y25">
        <f t="shared" si="16"/>
        <v>1185</v>
      </c>
      <c r="Z25" s="3">
        <f t="shared" si="15"/>
        <v>128861.78600381514</v>
      </c>
      <c r="AA25" s="3">
        <f t="shared" si="1"/>
        <v>34794.546642103298</v>
      </c>
      <c r="AE25" s="25"/>
      <c r="AF25" s="26"/>
    </row>
    <row r="26" spans="1:32" x14ac:dyDescent="0.25">
      <c r="A26" s="92" t="s">
        <v>999</v>
      </c>
      <c r="B26" s="93">
        <f t="shared" si="2"/>
        <v>96465.347380517152</v>
      </c>
      <c r="C26" s="93">
        <f t="shared" si="3"/>
        <v>94810.777635833176</v>
      </c>
      <c r="D26" s="93">
        <f t="shared" si="4"/>
        <v>96465.347380517152</v>
      </c>
      <c r="E26" s="93">
        <f t="shared" si="5"/>
        <v>98148.814751050406</v>
      </c>
      <c r="F26" s="93">
        <f t="shared" si="6"/>
        <v>99861.684860628535</v>
      </c>
      <c r="G26" s="93">
        <f t="shared" si="7"/>
        <v>101604.47165857966</v>
      </c>
      <c r="H26" s="93">
        <f t="shared" si="8"/>
        <v>103377.69808514608</v>
      </c>
      <c r="I26" s="93">
        <f t="shared" si="9"/>
        <v>105181.89622883729</v>
      </c>
      <c r="J26" s="93">
        <f t="shared" si="10"/>
        <v>107017.60748659962</v>
      </c>
      <c r="K26" s="93">
        <f t="shared" si="11"/>
        <v>108885.38272685283</v>
      </c>
      <c r="L26" s="93">
        <f t="shared" si="12"/>
        <v>98148.814751050406</v>
      </c>
      <c r="M26" s="92" t="s">
        <v>1002</v>
      </c>
      <c r="N26" s="92">
        <f>1270-$AD$19</f>
        <v>1263</v>
      </c>
      <c r="O26" s="92">
        <v>20</v>
      </c>
      <c r="P26" s="92">
        <f>$AI$2</f>
        <v>0.54</v>
      </c>
      <c r="Q26" s="92">
        <v>6</v>
      </c>
      <c r="R26" s="92">
        <f t="shared" si="0"/>
        <v>41.409836065573771</v>
      </c>
      <c r="S26" s="93">
        <v>100000</v>
      </c>
      <c r="T26" s="93">
        <v>100000</v>
      </c>
      <c r="U26" s="93">
        <f t="shared" si="13"/>
        <v>196044.34537126895</v>
      </c>
      <c r="W26">
        <v>99</v>
      </c>
      <c r="X26">
        <v>1</v>
      </c>
      <c r="Y26">
        <f t="shared" si="16"/>
        <v>1185</v>
      </c>
      <c r="Z26" s="3">
        <f t="shared" si="15"/>
        <v>131083.30950211009</v>
      </c>
      <c r="AA26" s="3">
        <f t="shared" si="1"/>
        <v>36573.953480572563</v>
      </c>
      <c r="AE26" s="25"/>
      <c r="AF26" s="26"/>
    </row>
    <row r="27" spans="1:32" x14ac:dyDescent="0.25">
      <c r="A27" s="94" t="s">
        <v>1003</v>
      </c>
      <c r="B27" s="95">
        <f t="shared" si="2"/>
        <v>100940.83558546389</v>
      </c>
      <c r="C27" s="95">
        <f t="shared" si="3"/>
        <v>100462.14988888617</v>
      </c>
      <c r="D27" s="95">
        <f t="shared" si="4"/>
        <v>100940.83558546389</v>
      </c>
      <c r="E27" s="95">
        <f t="shared" si="5"/>
        <v>101421.8087454928</v>
      </c>
      <c r="F27" s="95">
        <f t="shared" si="6"/>
        <v>101905.08033148815</v>
      </c>
      <c r="G27" s="95">
        <f t="shared" si="7"/>
        <v>102390.66135863888</v>
      </c>
      <c r="H27" s="95">
        <f t="shared" si="8"/>
        <v>102878.56289509476</v>
      </c>
      <c r="I27" s="95">
        <f t="shared" si="9"/>
        <v>103368.7960621938</v>
      </c>
      <c r="J27" s="95">
        <f t="shared" si="10"/>
        <v>103861.37203472677</v>
      </c>
      <c r="K27" s="95">
        <f t="shared" si="11"/>
        <v>104356.30204119867</v>
      </c>
      <c r="L27" s="95">
        <f t="shared" si="12"/>
        <v>101421.8087454928</v>
      </c>
      <c r="M27" s="94" t="s">
        <v>1004</v>
      </c>
      <c r="N27" s="94">
        <f>354-$AD$19</f>
        <v>347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11.377049180327869</v>
      </c>
      <c r="S27" s="95">
        <v>100000</v>
      </c>
      <c r="T27" s="95">
        <v>103000</v>
      </c>
      <c r="U27" s="95">
        <f t="shared" si="13"/>
        <v>122654.35294512616</v>
      </c>
      <c r="W27">
        <v>99</v>
      </c>
      <c r="X27">
        <v>2</v>
      </c>
      <c r="Y27">
        <f t="shared" si="16"/>
        <v>1185</v>
      </c>
      <c r="Z27" s="3">
        <f t="shared" si="15"/>
        <v>133343.13113988086</v>
      </c>
      <c r="AA27" s="3">
        <f t="shared" si="1"/>
        <v>38383.758519199015</v>
      </c>
      <c r="AE27" s="25"/>
      <c r="AF27" s="26"/>
    </row>
    <row r="28" spans="1:32" x14ac:dyDescent="0.25">
      <c r="A28" s="96" t="s">
        <v>1029</v>
      </c>
      <c r="B28" s="97">
        <f t="shared" si="2"/>
        <v>101057.61563150141</v>
      </c>
      <c r="C28" s="97">
        <f t="shared" si="3"/>
        <v>100000</v>
      </c>
      <c r="D28" s="97">
        <f t="shared" si="4"/>
        <v>101057.61563150141</v>
      </c>
      <c r="E28" s="97">
        <f t="shared" si="5"/>
        <v>102126.43148980515</v>
      </c>
      <c r="F28" s="97">
        <f t="shared" si="6"/>
        <v>103206.56634202009</v>
      </c>
      <c r="G28" s="97">
        <f t="shared" si="7"/>
        <v>104298.14021627055</v>
      </c>
      <c r="H28" s="97">
        <f t="shared" si="8"/>
        <v>105401.27441520934</v>
      </c>
      <c r="I28" s="97">
        <f t="shared" si="9"/>
        <v>106516.09152945355</v>
      </c>
      <c r="J28" s="97">
        <f t="shared" si="10"/>
        <v>107642.71545135387</v>
      </c>
      <c r="K28" s="97">
        <f t="shared" si="11"/>
        <v>108781.27138879277</v>
      </c>
      <c r="L28" s="97">
        <f t="shared" si="12"/>
        <v>102126.43148980515</v>
      </c>
      <c r="M28" s="96" t="s">
        <v>1030</v>
      </c>
      <c r="N28" s="96">
        <f>775-$AD$19</f>
        <v>768</v>
      </c>
      <c r="O28" s="96">
        <v>21</v>
      </c>
      <c r="P28" s="96">
        <v>0</v>
      </c>
      <c r="Q28" s="96">
        <v>1</v>
      </c>
      <c r="R28" s="96">
        <f t="shared" si="0"/>
        <v>25.180327868852459</v>
      </c>
      <c r="S28" s="97">
        <v>100000</v>
      </c>
      <c r="T28" s="97">
        <v>104000</v>
      </c>
      <c r="U28" s="97">
        <f t="shared" si="13"/>
        <v>155541.43927992834</v>
      </c>
      <c r="W28">
        <v>99</v>
      </c>
      <c r="X28">
        <v>3</v>
      </c>
      <c r="Y28">
        <f t="shared" si="16"/>
        <v>1185</v>
      </c>
      <c r="Z28" s="3">
        <f t="shared" si="15"/>
        <v>135641.91116109444</v>
      </c>
      <c r="AA28" s="3">
        <f t="shared" si="1"/>
        <v>40224.481060568665</v>
      </c>
      <c r="AC28" s="87">
        <f>AD28*((1+$AC$2/36500)^30)</f>
        <v>10169872.551538548</v>
      </c>
      <c r="AD28" s="3">
        <v>10000000</v>
      </c>
      <c r="AE28" s="25"/>
      <c r="AF28" s="26"/>
    </row>
    <row r="29" spans="1:32" x14ac:dyDescent="0.25">
      <c r="A29" s="92" t="s">
        <v>1084</v>
      </c>
      <c r="B29" s="93">
        <f t="shared" si="2"/>
        <v>86369.227255068967</v>
      </c>
      <c r="C29" s="93">
        <f t="shared" si="3"/>
        <v>84817.05064418423</v>
      </c>
      <c r="D29" s="93">
        <f t="shared" si="4"/>
        <v>86369.227255068967</v>
      </c>
      <c r="E29" s="93">
        <f t="shared" si="5"/>
        <v>87949.830994316231</v>
      </c>
      <c r="F29" s="93">
        <f t="shared" si="6"/>
        <v>89559.38288677625</v>
      </c>
      <c r="G29" s="93">
        <f t="shared" si="7"/>
        <v>91198.413514292464</v>
      </c>
      <c r="H29" s="93">
        <f t="shared" si="8"/>
        <v>92867.463191062532</v>
      </c>
      <c r="I29" s="93">
        <f t="shared" si="9"/>
        <v>94567.082142140847</v>
      </c>
      <c r="J29" s="93">
        <f t="shared" si="10"/>
        <v>96297.830685701891</v>
      </c>
      <c r="K29" s="93">
        <f t="shared" si="11"/>
        <v>98060.279417977596</v>
      </c>
      <c r="L29" s="93">
        <f t="shared" si="12"/>
        <v>87949.830994316231</v>
      </c>
      <c r="M29" s="92" t="s">
        <v>1085</v>
      </c>
      <c r="N29" s="92">
        <f>1331-$AD$19</f>
        <v>1324</v>
      </c>
      <c r="O29" s="92">
        <v>17</v>
      </c>
      <c r="P29" s="92">
        <f>AI2</f>
        <v>0.54</v>
      </c>
      <c r="Q29" s="92">
        <v>6</v>
      </c>
      <c r="R29" s="92">
        <f t="shared" si="0"/>
        <v>43.409836065573771</v>
      </c>
      <c r="S29" s="93">
        <v>100000</v>
      </c>
      <c r="T29" s="93"/>
      <c r="U29" s="93">
        <f t="shared" si="13"/>
        <v>181642.2583128094</v>
      </c>
      <c r="W29">
        <v>99</v>
      </c>
      <c r="X29">
        <v>4</v>
      </c>
      <c r="Y29">
        <f t="shared" si="16"/>
        <v>1185</v>
      </c>
      <c r="Z29" s="3">
        <f t="shared" si="15"/>
        <v>137980.32119204872</v>
      </c>
      <c r="AA29" s="3">
        <f t="shared" si="1"/>
        <v>42096.649278686717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140359.04443759916</v>
      </c>
      <c r="AA30" s="3">
        <f t="shared" si="1"/>
        <v>44000.800370530946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142778.7758807682</v>
      </c>
      <c r="AA31" s="3">
        <f t="shared" si="1"/>
        <v>45937.480710194184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145240.22248579602</v>
      </c>
      <c r="AA32" s="3">
        <f t="shared" si="1"/>
        <v>47907.246005660003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147744.10340469179</v>
      </c>
      <c r="AA33" s="3">
        <f t="shared" si="1"/>
        <v>49910.661458256698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150291.1501873456</v>
      </c>
      <c r="AA34" s="3">
        <f t="shared" si="1"/>
        <v>51948.30192483525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152882.10699526287</v>
      </c>
      <c r="AA35" s="3">
        <f t="shared" si="1"/>
        <v>54020.752082717852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155517.73081898331</v>
      </c>
      <c r="AA36" s="3">
        <f t="shared" si="1"/>
        <v>56128.606597464284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158198.7916992481</v>
      </c>
      <c r="AA37" s="3">
        <f t="shared" si="1"/>
        <v>58272.470293504302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160926.07295197994</v>
      </c>
      <c r="AA38" s="3">
        <f t="shared" si="1"/>
        <v>60452.958327685003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163700.37139714169</v>
      </c>
      <c r="AA39" s="3">
        <f t="shared" si="1"/>
        <v>62670.696365782955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166522.49759154033</v>
      </c>
      <c r="AA40" s="3">
        <f t="shared" si="1"/>
        <v>64926.320762031748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169393.27606564452</v>
      </c>
      <c r="AA41" s="3">
        <f t="shared" si="1"/>
        <v>67220.478741716463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172313.54556448455</v>
      </c>
      <c r="AA42" s="3">
        <f t="shared" si="1"/>
        <v>69553.828586887452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175284.15929270562</v>
      </c>
      <c r="AA43" s="3">
        <f t="shared" si="1"/>
        <v>71927.039825246786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178305.9851638455</v>
      </c>
      <c r="AA44" s="3">
        <f t="shared" si="1"/>
        <v>74340.793422261413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181379.90605390974</v>
      </c>
      <c r="AA45" s="3">
        <f t="shared" si="1"/>
        <v>76795.781976558384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184506.8200593183</v>
      </c>
      <c r="AA46" s="3">
        <f t="shared" si="1"/>
        <v>79292.709918657929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187687.64075929928</v>
      </c>
      <c r="AA47" s="3">
        <f t="shared" si="1"/>
        <v>81832.293713101666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190923.29748280597</v>
      </c>
      <c r="AA48" s="3">
        <f t="shared" si="1"/>
        <v>84415.262064033814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194214.7355800356</v>
      </c>
      <c r="AA49" s="3">
        <f t="shared" si="1"/>
        <v>87042.356124294398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1098</v>
      </c>
    </row>
    <row r="2" spans="1:1" x14ac:dyDescent="0.25">
      <c r="A2" t="s">
        <v>1099</v>
      </c>
    </row>
    <row r="3" spans="1:1" x14ac:dyDescent="0.25">
      <c r="A3" t="s">
        <v>1100</v>
      </c>
    </row>
    <row r="4" spans="1:1" x14ac:dyDescent="0.25">
      <c r="A4" t="s">
        <v>1101</v>
      </c>
    </row>
    <row r="5" spans="1:1" x14ac:dyDescent="0.25">
      <c r="A5" t="s">
        <v>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1078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1056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1074</v>
      </c>
      <c r="B61" s="3">
        <v>4172</v>
      </c>
      <c r="C61" s="11" t="s">
        <v>1076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1080</v>
      </c>
      <c r="B62" s="3">
        <v>-161000</v>
      </c>
      <c r="C62" s="11" t="s">
        <v>1088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1094</v>
      </c>
      <c r="B63" s="3">
        <v>-149505</v>
      </c>
      <c r="C63" s="11" t="s">
        <v>1095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1107</v>
      </c>
      <c r="B64" s="3">
        <v>-4940</v>
      </c>
      <c r="C64" s="11" t="s">
        <v>1111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1057</v>
      </c>
    </row>
    <row r="187" spans="1:7" x14ac:dyDescent="0.25">
      <c r="A187" s="11" t="s">
        <v>1056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1057</v>
      </c>
    </row>
    <row r="188" spans="1:7" x14ac:dyDescent="0.25">
      <c r="A188" s="11" t="s">
        <v>1056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1068</v>
      </c>
    </row>
    <row r="189" spans="1:7" x14ac:dyDescent="0.25">
      <c r="A189" s="11" t="s">
        <v>1067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1068</v>
      </c>
    </row>
    <row r="190" spans="1:7" x14ac:dyDescent="0.25">
      <c r="A190" s="11" t="s">
        <v>1067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1057</v>
      </c>
    </row>
    <row r="191" spans="1:7" x14ac:dyDescent="0.25">
      <c r="A191" s="11" t="s">
        <v>1074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1076</v>
      </c>
    </row>
    <row r="192" spans="1:7" x14ac:dyDescent="0.25">
      <c r="A192" s="11" t="s">
        <v>1103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1104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D1" zoomScaleNormal="100" workbookViewId="0">
      <selection activeCell="O23" sqref="O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1105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1050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91515800.5</v>
      </c>
      <c r="G15" s="29">
        <f t="shared" si="0"/>
        <v>1484199.5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299</v>
      </c>
      <c r="L16" s="43">
        <f>'مسکن ایلیا'!B202</f>
        <v>1984347</v>
      </c>
      <c r="M16" s="11" t="s">
        <v>756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456</v>
      </c>
      <c r="L20" s="43">
        <v>529000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7300000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952</v>
      </c>
      <c r="L23" s="43">
        <f>'لیست خرید و فروش'!X32</f>
        <v>184803608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1047</v>
      </c>
      <c r="L24" s="43">
        <f>-'لیست خرید و فروش'!Z15</f>
        <v>-94401165.5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1048</v>
      </c>
      <c r="N25" s="29">
        <f>-L24</f>
        <v>94401165.5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598</v>
      </c>
      <c r="L27" s="3">
        <f>SUM(L16:L24)</f>
        <v>91515800.5</v>
      </c>
      <c r="M27" s="11"/>
      <c r="N27" s="29">
        <f>SUM(N16:N25)</f>
        <v>154467365.5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599</v>
      </c>
      <c r="L28" s="3">
        <f>L16+L17+L20</f>
        <v>2613358</v>
      </c>
      <c r="M28" s="11"/>
      <c r="N28" s="29">
        <f>N16+N17+N22</f>
        <v>9566200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718</v>
      </c>
      <c r="L29" s="1">
        <f>L27+N7</f>
        <v>148515800.5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1079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1074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1080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2018-03-27T10:29:34Z</dcterms:modified>
</cp:coreProperties>
</file>