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9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P125" i="52" l="1"/>
  <c r="O125" i="52"/>
  <c r="J125" i="52"/>
  <c r="P140" i="18" l="1"/>
  <c r="U231" i="18"/>
  <c r="W229" i="18"/>
  <c r="P124" i="52" l="1"/>
  <c r="J124" i="52"/>
  <c r="P147" i="52"/>
  <c r="P146" i="52"/>
  <c r="P145" i="52"/>
  <c r="P144" i="52"/>
  <c r="P143" i="52"/>
  <c r="P142" i="52"/>
  <c r="P141" i="52"/>
  <c r="P140" i="52"/>
  <c r="P139" i="52"/>
  <c r="P138" i="52"/>
  <c r="P137" i="52"/>
  <c r="P136" i="52"/>
  <c r="P135" i="52"/>
  <c r="P134" i="52"/>
  <c r="P133" i="52"/>
  <c r="P132" i="52"/>
  <c r="P131" i="52"/>
  <c r="P130" i="52"/>
  <c r="P129" i="52"/>
  <c r="P128" i="52"/>
  <c r="P127" i="52"/>
  <c r="N125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4" i="52"/>
  <c r="N124" i="52"/>
  <c r="N126" i="52"/>
  <c r="N127" i="52"/>
  <c r="N128" i="52"/>
  <c r="N129" i="52"/>
  <c r="N130" i="52"/>
  <c r="N131" i="52"/>
  <c r="N132" i="52"/>
  <c r="N133" i="52"/>
  <c r="N134" i="52"/>
  <c r="N135" i="52"/>
  <c r="N136" i="52"/>
  <c r="N137" i="52"/>
  <c r="N138" i="52"/>
  <c r="N139" i="52"/>
  <c r="N140" i="52"/>
  <c r="N141" i="52"/>
  <c r="N142" i="52"/>
  <c r="N143" i="52"/>
  <c r="N144" i="52"/>
  <c r="N145" i="52"/>
  <c r="N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J126" i="52"/>
  <c r="W228" i="18"/>
  <c r="P126" i="52" l="1"/>
  <c r="O123" i="52"/>
  <c r="N123" i="52"/>
  <c r="J123" i="52"/>
  <c r="P23" i="18" l="1"/>
  <c r="N23" i="18" s="1"/>
  <c r="P29" i="18"/>
  <c r="N29" i="18" s="1"/>
  <c r="N45" i="18"/>
  <c r="W227" i="18"/>
  <c r="D63" i="58" l="1"/>
  <c r="O121" i="52" l="1"/>
  <c r="J121" i="52"/>
  <c r="P24" i="18"/>
  <c r="N24" i="18" s="1"/>
  <c r="P30" i="18"/>
  <c r="N30" i="18" s="1"/>
  <c r="N48" i="18"/>
  <c r="W226" i="18"/>
  <c r="D28" i="60" l="1"/>
  <c r="D30" i="60"/>
  <c r="D31" i="60" s="1"/>
  <c r="D32" i="60" s="1"/>
  <c r="D33" i="60" s="1"/>
  <c r="W225" i="18"/>
  <c r="J120" i="52"/>
  <c r="M106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O117" i="52" l="1"/>
  <c r="O116" i="52" l="1"/>
  <c r="N116" i="52"/>
  <c r="R188" i="18" l="1"/>
  <c r="W224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D313" i="15"/>
  <c r="D312" i="15" s="1"/>
  <c r="D311" i="15" s="1"/>
  <c r="E313" i="15"/>
  <c r="E281" i="15"/>
  <c r="E282" i="15"/>
  <c r="E283" i="15"/>
  <c r="E284" i="15"/>
  <c r="E285" i="15"/>
  <c r="E286" i="15"/>
  <c r="E287" i="15"/>
  <c r="E288" i="15"/>
  <c r="F313" i="15" l="1"/>
  <c r="F312" i="15"/>
  <c r="F311" i="15"/>
  <c r="D310" i="15"/>
  <c r="K110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47" i="52"/>
  <c r="N147" i="52"/>
  <c r="O122" i="52"/>
  <c r="N122" i="52"/>
  <c r="P123" i="52" s="1"/>
  <c r="N121" i="52"/>
  <c r="O120" i="52"/>
  <c r="N120" i="52"/>
  <c r="O119" i="52"/>
  <c r="N119" i="52"/>
  <c r="O118" i="52"/>
  <c r="N118" i="52"/>
  <c r="N117" i="52"/>
  <c r="P117" i="52" s="1"/>
  <c r="O115" i="52"/>
  <c r="N115" i="52"/>
  <c r="P116" i="52" s="1"/>
  <c r="O114" i="52"/>
  <c r="N114" i="52"/>
  <c r="O113" i="52"/>
  <c r="N113" i="52"/>
  <c r="N112" i="52"/>
  <c r="O111" i="52"/>
  <c r="N111" i="52"/>
  <c r="J146" i="52"/>
  <c r="J122" i="52"/>
  <c r="J119" i="52"/>
  <c r="J118" i="52"/>
  <c r="J117" i="52"/>
  <c r="J116" i="52"/>
  <c r="J115" i="52"/>
  <c r="J114" i="52"/>
  <c r="J113" i="52"/>
  <c r="J112" i="52"/>
  <c r="J111" i="52"/>
  <c r="J110" i="52"/>
  <c r="P120" i="52" l="1"/>
  <c r="P121" i="52"/>
  <c r="D305" i="15"/>
  <c r="F306" i="15"/>
  <c r="P112" i="52"/>
  <c r="P113" i="52"/>
  <c r="P118" i="52"/>
  <c r="P122" i="52"/>
  <c r="P119" i="52"/>
  <c r="P114" i="52"/>
  <c r="P115" i="52"/>
  <c r="O110" i="52"/>
  <c r="D304" i="15" l="1"/>
  <c r="F305" i="15"/>
  <c r="W223" i="18"/>
  <c r="J108" i="52"/>
  <c r="D303" i="15" l="1"/>
  <c r="F304" i="15"/>
  <c r="W222" i="18"/>
  <c r="W221" i="18"/>
  <c r="F303" i="15" l="1"/>
  <c r="D302" i="15"/>
  <c r="O106" i="52"/>
  <c r="J106" i="52"/>
  <c r="D301" i="15" l="1"/>
  <c r="F302" i="15"/>
  <c r="J104" i="52"/>
  <c r="G122" i="18"/>
  <c r="E276" i="15"/>
  <c r="E277" i="15"/>
  <c r="E278" i="15"/>
  <c r="E279" i="15"/>
  <c r="E280" i="15"/>
  <c r="D300" i="15" l="1"/>
  <c r="F301" i="15"/>
  <c r="AL249" i="18"/>
  <c r="W220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9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77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J100" i="52"/>
  <c r="J101" i="52"/>
  <c r="J102" i="52"/>
  <c r="J103" i="52"/>
  <c r="J105" i="52"/>
  <c r="J107" i="52"/>
  <c r="J109" i="52"/>
  <c r="J147" i="52"/>
  <c r="J97" i="52"/>
  <c r="J98" i="52"/>
  <c r="J99" i="52"/>
  <c r="P108" i="52" l="1"/>
  <c r="AM243" i="18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63" i="18"/>
  <c r="J90" i="52"/>
  <c r="J95" i="52"/>
  <c r="W218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7" i="18"/>
  <c r="O136" i="18"/>
  <c r="O135" i="18"/>
  <c r="AM239" i="18" l="1"/>
  <c r="AL238" i="18"/>
  <c r="D289" i="15"/>
  <c r="F290" i="15"/>
  <c r="P97" i="52"/>
  <c r="P98" i="52"/>
  <c r="P95" i="52"/>
  <c r="P96" i="52"/>
  <c r="P94" i="52"/>
  <c r="P93" i="52"/>
  <c r="O139" i="18"/>
  <c r="N91" i="52"/>
  <c r="P92" i="52" s="1"/>
  <c r="AL237" i="18" l="1"/>
  <c r="AM238" i="18"/>
  <c r="F289" i="15"/>
  <c r="D288" i="15"/>
  <c r="R219" i="18"/>
  <c r="T247" i="18" s="1"/>
  <c r="W217" i="18"/>
  <c r="W216" i="18"/>
  <c r="W215" i="18"/>
  <c r="M48" i="52"/>
  <c r="M47" i="52"/>
  <c r="N38" i="52"/>
  <c r="N37" i="52"/>
  <c r="M49" i="52"/>
  <c r="N50" i="52" s="1"/>
  <c r="AM237" i="18" l="1"/>
  <c r="AL236" i="18"/>
  <c r="D287" i="15"/>
  <c r="F288" i="15"/>
  <c r="N49" i="52"/>
  <c r="AL148" i="18"/>
  <c r="AM148" i="18" s="1"/>
  <c r="AL149" i="18"/>
  <c r="AM149" i="18" s="1"/>
  <c r="W214" i="18"/>
  <c r="AM236" i="18" l="1"/>
  <c r="AL235" i="18"/>
  <c r="F287" i="15"/>
  <c r="D286" i="15"/>
  <c r="J123" i="18"/>
  <c r="J122" i="18"/>
  <c r="G121" i="18"/>
  <c r="J121" i="18" s="1"/>
  <c r="J120" i="18"/>
  <c r="AL234" i="18" l="1"/>
  <c r="AM235" i="18"/>
  <c r="D285" i="15"/>
  <c r="F286" i="15"/>
  <c r="J124" i="18"/>
  <c r="W213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12" i="18"/>
  <c r="AM232" i="18" l="1"/>
  <c r="AL231" i="18"/>
  <c r="F283" i="15"/>
  <c r="D282" i="15"/>
  <c r="G32" i="57"/>
  <c r="H32" i="57"/>
  <c r="D32" i="57"/>
  <c r="I32" i="57" s="1"/>
  <c r="D345" i="20"/>
  <c r="W211" i="18"/>
  <c r="W210" i="18"/>
  <c r="AL230" i="18" l="1"/>
  <c r="AM231" i="18"/>
  <c r="D281" i="15"/>
  <c r="F282" i="15"/>
  <c r="W146" i="18"/>
  <c r="W145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W209" i="18"/>
  <c r="D343" i="20"/>
  <c r="F279" i="15" l="1"/>
  <c r="D278" i="15"/>
  <c r="W208" i="18"/>
  <c r="D342" i="20"/>
  <c r="J83" i="52"/>
  <c r="O83" i="52"/>
  <c r="W207" i="18"/>
  <c r="W206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205" i="18"/>
  <c r="AL145" i="18" l="1"/>
  <c r="AM145" i="18" s="1"/>
  <c r="D340" i="20" l="1"/>
  <c r="W204" i="18"/>
  <c r="H337" i="20"/>
  <c r="H338" i="20"/>
  <c r="H339" i="20"/>
  <c r="H340" i="20"/>
  <c r="H341" i="20"/>
  <c r="H368" i="20"/>
  <c r="H369" i="20"/>
  <c r="D339" i="20"/>
  <c r="O69" i="18" l="1"/>
  <c r="O68" i="18"/>
  <c r="O67" i="18"/>
  <c r="B371" i="20"/>
  <c r="D332" i="20"/>
  <c r="D333" i="20"/>
  <c r="D334" i="20"/>
  <c r="D335" i="20"/>
  <c r="D336" i="20"/>
  <c r="D337" i="20"/>
  <c r="D338" i="20"/>
  <c r="D369" i="20"/>
  <c r="W203" i="18" l="1"/>
  <c r="D80" i="57"/>
  <c r="AD46" i="52" l="1"/>
  <c r="AE46" i="52"/>
  <c r="G46" i="10"/>
  <c r="D331" i="20" l="1"/>
  <c r="D330" i="20" l="1"/>
  <c r="W202" i="18" l="1"/>
  <c r="W201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00" i="18" l="1"/>
  <c r="W199" i="18"/>
  <c r="Z40" i="52" l="1"/>
  <c r="Z39" i="52"/>
  <c r="Z38" i="52"/>
  <c r="AD38" i="52"/>
  <c r="AD39" i="52"/>
  <c r="AD40" i="52"/>
  <c r="AE40" i="52"/>
  <c r="AE39" i="52"/>
  <c r="AE38" i="52"/>
  <c r="R161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8" i="18"/>
  <c r="W197" i="18"/>
  <c r="L36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96" i="18" l="1"/>
  <c r="W195" i="18"/>
  <c r="N34" i="52"/>
  <c r="N33" i="52"/>
  <c r="P42" i="52"/>
  <c r="AR18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94" i="18" l="1"/>
  <c r="W193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92" i="18" l="1"/>
  <c r="W191" i="18"/>
  <c r="N30" i="52"/>
  <c r="N29" i="52"/>
  <c r="AD27" i="52"/>
  <c r="Z27" i="52"/>
  <c r="AE27" i="52"/>
  <c r="W190" i="18" l="1"/>
  <c r="W189" i="18"/>
  <c r="N28" i="52"/>
  <c r="N27" i="52"/>
  <c r="AD26" i="52" l="1"/>
  <c r="AE26" i="52"/>
  <c r="N38" i="18"/>
  <c r="AL227" i="18" l="1"/>
  <c r="D313" i="20"/>
  <c r="AL226" i="18" l="1"/>
  <c r="AM227" i="18"/>
  <c r="L111" i="18"/>
  <c r="L108" i="18" s="1"/>
  <c r="AM226" i="18" l="1"/>
  <c r="AL225" i="18"/>
  <c r="M111" i="18"/>
  <c r="L104" i="18"/>
  <c r="W188" i="18"/>
  <c r="W187" i="18"/>
  <c r="N24" i="52"/>
  <c r="N26" i="52"/>
  <c r="N25" i="52"/>
  <c r="AL224" i="18" l="1"/>
  <c r="AM225" i="18"/>
  <c r="N60" i="18"/>
  <c r="L106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186" i="18"/>
  <c r="W185" i="18"/>
  <c r="N23" i="52"/>
  <c r="N22" i="52"/>
  <c r="Z24" i="52"/>
  <c r="AD24" i="52"/>
  <c r="AE24" i="52"/>
  <c r="I368" i="20" l="1"/>
  <c r="G367" i="20"/>
  <c r="J368" i="20"/>
  <c r="K368" i="20"/>
  <c r="AL222" i="18"/>
  <c r="AM223" i="18"/>
  <c r="W184" i="18"/>
  <c r="W183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182" i="18"/>
  <c r="W181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7" i="18"/>
  <c r="F107" i="18" s="1"/>
  <c r="G105" i="18"/>
  <c r="F105" i="18" s="1"/>
  <c r="G104" i="18"/>
  <c r="F104" i="18" s="1"/>
  <c r="P22" i="18"/>
  <c r="N22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180" i="18"/>
  <c r="W179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5" i="18"/>
  <c r="L107" i="18"/>
  <c r="J355" i="20" l="1"/>
  <c r="I355" i="20"/>
  <c r="G354" i="20"/>
  <c r="K355" i="20"/>
  <c r="W178" i="18"/>
  <c r="W177" i="18"/>
  <c r="D303" i="20"/>
  <c r="D302" i="20"/>
  <c r="W176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1" i="18"/>
  <c r="P28" i="18"/>
  <c r="P25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74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73" i="18"/>
  <c r="W172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71" i="18"/>
  <c r="W170" i="18"/>
  <c r="G346" i="20" l="1"/>
  <c r="J347" i="20"/>
  <c r="I347" i="20"/>
  <c r="K347" i="20"/>
  <c r="D293" i="20"/>
  <c r="K346" i="20" l="1"/>
  <c r="G345" i="20"/>
  <c r="J346" i="20"/>
  <c r="I346" i="20"/>
  <c r="W169" i="18"/>
  <c r="K345" i="20" l="1"/>
  <c r="G344" i="20"/>
  <c r="J345" i="20"/>
  <c r="I345" i="20"/>
  <c r="D292" i="20"/>
  <c r="C8" i="36"/>
  <c r="W168" i="18"/>
  <c r="N5" i="52"/>
  <c r="I344" i="20" l="1"/>
  <c r="K344" i="20"/>
  <c r="G343" i="20"/>
  <c r="J344" i="20"/>
  <c r="N46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8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67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6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8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43" i="18"/>
  <c r="W166" i="18"/>
  <c r="D278" i="20"/>
  <c r="J327" i="20" l="1"/>
  <c r="K327" i="20"/>
  <c r="G326" i="20"/>
  <c r="I327" i="20"/>
  <c r="W144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38" i="18"/>
  <c r="I325" i="20" l="1"/>
  <c r="K325" i="20"/>
  <c r="J325" i="20"/>
  <c r="G324" i="20"/>
  <c r="S137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4" i="18"/>
  <c r="M108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82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8" i="18"/>
  <c r="N119" i="18"/>
  <c r="N120" i="18"/>
  <c r="N121" i="18"/>
  <c r="N122" i="18"/>
  <c r="N123" i="18"/>
  <c r="N124" i="18"/>
  <c r="N125" i="18"/>
  <c r="N117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65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64" i="18"/>
  <c r="AM124" i="18" l="1"/>
  <c r="AL123" i="18"/>
  <c r="AM123" i="18" l="1"/>
  <c r="AL122" i="18"/>
  <c r="AL121" i="18" l="1"/>
  <c r="AM122" i="18"/>
  <c r="W158" i="18"/>
  <c r="W159" i="18"/>
  <c r="W160" i="18"/>
  <c r="W161" i="18"/>
  <c r="W162" i="18"/>
  <c r="W163" i="18"/>
  <c r="W175" i="18"/>
  <c r="W157" i="18"/>
  <c r="AM121" i="18" l="1"/>
  <c r="AL120" i="18"/>
  <c r="N51" i="18"/>
  <c r="AM120" i="18" l="1"/>
  <c r="AL119" i="18"/>
  <c r="AM119" i="18" l="1"/>
  <c r="AL118" i="18"/>
  <c r="T141" i="18"/>
  <c r="S57" i="18"/>
  <c r="S58" i="18" s="1"/>
  <c r="S59" i="18" s="1"/>
  <c r="R162" i="18"/>
  <c r="R160" i="18"/>
  <c r="D57" i="51"/>
  <c r="AL117" i="18" l="1"/>
  <c r="AM118" i="18"/>
  <c r="S60" i="18"/>
  <c r="S61" i="18" s="1"/>
  <c r="AM117" i="18" l="1"/>
  <c r="AL116" i="18"/>
  <c r="S62" i="18"/>
  <c r="S63" i="18" s="1"/>
  <c r="S64" i="18" s="1"/>
  <c r="N31" i="18"/>
  <c r="Q73" i="18" s="1"/>
  <c r="R159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5" i="18" l="1"/>
  <c r="S66" i="18" s="1"/>
  <c r="AL113" i="18"/>
  <c r="AM114" i="18"/>
  <c r="S20" i="18"/>
  <c r="S21" i="18" s="1"/>
  <c r="S67" i="18" l="1"/>
  <c r="S68" i="18" s="1"/>
  <c r="S69" i="18" s="1"/>
  <c r="S70" i="18" s="1"/>
  <c r="S71" i="18" s="1"/>
  <c r="AL112" i="18"/>
  <c r="AM113" i="18"/>
  <c r="N49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8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6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5" i="18"/>
  <c r="M105" i="18" l="1"/>
  <c r="N105" i="18" s="1"/>
  <c r="AL99" i="18"/>
  <c r="AM100" i="18"/>
  <c r="AL200" i="18"/>
  <c r="AM201" i="18"/>
  <c r="S36" i="18" l="1"/>
  <c r="S37" i="18" s="1"/>
  <c r="S38" i="18" s="1"/>
  <c r="S39" i="18" s="1"/>
  <c r="S40" i="18" s="1"/>
  <c r="AM99" i="18"/>
  <c r="AL98" i="18"/>
  <c r="AL199" i="18"/>
  <c r="AM200" i="18"/>
  <c r="P56" i="18"/>
  <c r="AL97" i="18" l="1"/>
  <c r="AM98" i="18"/>
  <c r="AL198" i="18"/>
  <c r="AM199" i="18"/>
  <c r="S41" i="18" l="1"/>
  <c r="AM97" i="18"/>
  <c r="AL96" i="18"/>
  <c r="AL197" i="18"/>
  <c r="AM198" i="18"/>
  <c r="N23" i="33"/>
  <c r="D23" i="33" s="1"/>
  <c r="S42" i="18" l="1"/>
  <c r="S43" i="18" s="1"/>
  <c r="S44" i="18" s="1"/>
  <c r="AM96" i="18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S48" i="18" s="1"/>
  <c r="S49" i="18" s="1"/>
  <c r="S50" i="18" s="1"/>
  <c r="F26" i="49"/>
  <c r="G26" i="49"/>
  <c r="AL94" i="18"/>
  <c r="AM95" i="18"/>
  <c r="AL195" i="18"/>
  <c r="AM196" i="18"/>
  <c r="N21" i="18"/>
  <c r="Q52" i="18" s="1"/>
  <c r="R158" i="18" l="1"/>
  <c r="AJ254" i="18"/>
  <c r="AJ255" i="18" s="1"/>
  <c r="AM94" i="18"/>
  <c r="AL93" i="18"/>
  <c r="AL194" i="18"/>
  <c r="AM195" i="18"/>
  <c r="AL92" i="18" l="1"/>
  <c r="AM93" i="18"/>
  <c r="AL193" i="18"/>
  <c r="AM194" i="18"/>
  <c r="S83" i="18"/>
  <c r="S84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85" i="18"/>
  <c r="S86" i="18" s="1"/>
  <c r="AL85" i="18" l="1"/>
  <c r="AM86" i="18"/>
  <c r="S87" i="18"/>
  <c r="S88" i="18" s="1"/>
  <c r="S89" i="18" s="1"/>
  <c r="S90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91" i="18"/>
  <c r="S92" i="18" s="1"/>
  <c r="S93" i="18" s="1"/>
  <c r="S9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5" i="18" l="1"/>
  <c r="AL77" i="18"/>
  <c r="AM78" i="18"/>
  <c r="N56" i="18"/>
  <c r="G307" i="20" l="1"/>
  <c r="K308" i="20"/>
  <c r="J308" i="20"/>
  <c r="I308" i="20"/>
  <c r="S96" i="18"/>
  <c r="AL76" i="18"/>
  <c r="AM77" i="18"/>
  <c r="S97" i="18" l="1"/>
  <c r="S98" i="18" s="1"/>
  <c r="S99" i="18" s="1"/>
  <c r="S100" i="18" s="1"/>
  <c r="S101" i="18" s="1"/>
  <c r="G306" i="20"/>
  <c r="J307" i="20"/>
  <c r="I307" i="20"/>
  <c r="K307" i="20"/>
  <c r="AL75" i="18"/>
  <c r="AM76" i="18"/>
  <c r="N50" i="18"/>
  <c r="Q133" i="18" s="1"/>
  <c r="R157" i="18" l="1"/>
  <c r="R167" i="18" s="1"/>
  <c r="T234" i="18" s="1"/>
  <c r="M104" i="18"/>
  <c r="N104" i="18" s="1"/>
  <c r="N111" i="18" s="1"/>
  <c r="AJ171" i="18"/>
  <c r="AJ172" i="18" s="1"/>
  <c r="S102" i="18"/>
  <c r="S103" i="18" s="1"/>
  <c r="S104" i="18" s="1"/>
  <c r="G305" i="20"/>
  <c r="I306" i="20"/>
  <c r="K306" i="20"/>
  <c r="J306" i="20"/>
  <c r="AL74" i="18"/>
  <c r="AM75" i="18"/>
  <c r="S105" i="18" l="1"/>
  <c r="S106" i="18" s="1"/>
  <c r="S107" i="18" s="1"/>
  <c r="S108" i="18" s="1"/>
  <c r="V237" i="18"/>
  <c r="S146" i="18"/>
  <c r="U247" i="18"/>
  <c r="G304" i="20"/>
  <c r="I305" i="20"/>
  <c r="K305" i="20"/>
  <c r="J305" i="20"/>
  <c r="AL73" i="18"/>
  <c r="AM74" i="18"/>
  <c r="N82" i="18"/>
  <c r="V50" i="18" l="1"/>
  <c r="X50" i="18" s="1"/>
  <c r="V71" i="18"/>
  <c r="W50" i="18"/>
  <c r="V49" i="18"/>
  <c r="V70" i="18"/>
  <c r="V69" i="18"/>
  <c r="W69" i="18" s="1"/>
  <c r="V48" i="18"/>
  <c r="V47" i="18"/>
  <c r="V68" i="18"/>
  <c r="W68" i="18" s="1"/>
  <c r="V46" i="18"/>
  <c r="V45" i="18"/>
  <c r="V44" i="18"/>
  <c r="V43" i="18"/>
  <c r="V42" i="18"/>
  <c r="V67" i="18"/>
  <c r="S109" i="18"/>
  <c r="S110" i="18" s="1"/>
  <c r="S111" i="18" s="1"/>
  <c r="V41" i="18"/>
  <c r="V40" i="18"/>
  <c r="W40" i="18" s="1"/>
  <c r="V66" i="18"/>
  <c r="V39" i="18"/>
  <c r="W39" i="18" s="1"/>
  <c r="V65" i="18"/>
  <c r="V64" i="18"/>
  <c r="U146" i="18"/>
  <c r="V146" i="18" s="1"/>
  <c r="V38" i="18"/>
  <c r="V37" i="18"/>
  <c r="V36" i="18"/>
  <c r="V35" i="18"/>
  <c r="V33" i="18"/>
  <c r="W33" i="18" s="1"/>
  <c r="V34" i="18"/>
  <c r="V51" i="18"/>
  <c r="V32" i="18"/>
  <c r="X32" i="18" s="1"/>
  <c r="G303" i="20"/>
  <c r="K304" i="20"/>
  <c r="I304" i="20"/>
  <c r="J304" i="20"/>
  <c r="V247" i="18"/>
  <c r="V31" i="18"/>
  <c r="W31" i="18" s="1"/>
  <c r="V107" i="18"/>
  <c r="W107" i="18" s="1"/>
  <c r="V108" i="18"/>
  <c r="V106" i="18"/>
  <c r="V30" i="18"/>
  <c r="W30" i="18" s="1"/>
  <c r="V63" i="18"/>
  <c r="V105" i="18"/>
  <c r="V103" i="18"/>
  <c r="V102" i="18"/>
  <c r="V101" i="18"/>
  <c r="V104" i="18"/>
  <c r="V132" i="18"/>
  <c r="V99" i="18"/>
  <c r="W99" i="18" s="1"/>
  <c r="V100" i="18"/>
  <c r="V29" i="18"/>
  <c r="W29" i="18" s="1"/>
  <c r="V62" i="18"/>
  <c r="V97" i="18"/>
  <c r="W97" i="18" s="1"/>
  <c r="V98" i="18"/>
  <c r="V95" i="18"/>
  <c r="W95" i="18" s="1"/>
  <c r="V96" i="18"/>
  <c r="V94" i="18"/>
  <c r="W94" i="18" s="1"/>
  <c r="V93" i="18"/>
  <c r="V28" i="18"/>
  <c r="V27" i="18"/>
  <c r="W27" i="18" s="1"/>
  <c r="V61" i="18"/>
  <c r="V26" i="18"/>
  <c r="X26" i="18" s="1"/>
  <c r="V60" i="18"/>
  <c r="V72" i="18"/>
  <c r="V59" i="18"/>
  <c r="V92" i="18"/>
  <c r="V58" i="18"/>
  <c r="V91" i="18"/>
  <c r="V25" i="18"/>
  <c r="V90" i="18"/>
  <c r="V24" i="18"/>
  <c r="V22" i="18"/>
  <c r="V23" i="18"/>
  <c r="W23" i="18" s="1"/>
  <c r="V89" i="18"/>
  <c r="V88" i="18"/>
  <c r="V87" i="18"/>
  <c r="V21" i="18"/>
  <c r="V86" i="18"/>
  <c r="V84" i="18"/>
  <c r="V85" i="18"/>
  <c r="V81" i="18"/>
  <c r="V20" i="18"/>
  <c r="V82" i="18"/>
  <c r="V83" i="18"/>
  <c r="AL72" i="18"/>
  <c r="AM73" i="18"/>
  <c r="W71" i="18" l="1"/>
  <c r="X71" i="18"/>
  <c r="W70" i="18"/>
  <c r="X70" i="18"/>
  <c r="W49" i="18"/>
  <c r="X49" i="18"/>
  <c r="X69" i="18"/>
  <c r="W47" i="18"/>
  <c r="X47" i="18"/>
  <c r="W48" i="18"/>
  <c r="X48" i="18"/>
  <c r="X68" i="18"/>
  <c r="W46" i="18"/>
  <c r="X46" i="18"/>
  <c r="W45" i="18"/>
  <c r="X45" i="18"/>
  <c r="X42" i="18"/>
  <c r="W42" i="18"/>
  <c r="W43" i="18"/>
  <c r="X43" i="18"/>
  <c r="X44" i="18"/>
  <c r="W44" i="18"/>
  <c r="X67" i="18"/>
  <c r="W67" i="18"/>
  <c r="V109" i="18"/>
  <c r="W109" i="18" s="1"/>
  <c r="V110" i="18"/>
  <c r="X110" i="18" s="1"/>
  <c r="W41" i="18"/>
  <c r="X41" i="18"/>
  <c r="X40" i="18"/>
  <c r="W66" i="18"/>
  <c r="X66" i="18"/>
  <c r="X39" i="18"/>
  <c r="W64" i="18"/>
  <c r="X64" i="18"/>
  <c r="W65" i="18"/>
  <c r="X65" i="18"/>
  <c r="X38" i="18"/>
  <c r="W38" i="18"/>
  <c r="X36" i="18"/>
  <c r="W36" i="18"/>
  <c r="W37" i="18"/>
  <c r="X37" i="18"/>
  <c r="W35" i="18"/>
  <c r="X35" i="18"/>
  <c r="X33" i="18"/>
  <c r="W51" i="18"/>
  <c r="X51" i="18"/>
  <c r="W34" i="18"/>
  <c r="X34" i="18"/>
  <c r="W32" i="18"/>
  <c r="S145" i="18"/>
  <c r="G302" i="20"/>
  <c r="K303" i="20"/>
  <c r="I303" i="20"/>
  <c r="J303" i="20"/>
  <c r="X31" i="18"/>
  <c r="X107" i="18"/>
  <c r="W108" i="18"/>
  <c r="X108" i="18"/>
  <c r="X30" i="18"/>
  <c r="W106" i="18"/>
  <c r="X106" i="18"/>
  <c r="W63" i="18"/>
  <c r="X63" i="18"/>
  <c r="W105" i="18"/>
  <c r="X105" i="18"/>
  <c r="X102" i="18"/>
  <c r="W102" i="18"/>
  <c r="W103" i="18"/>
  <c r="X103" i="18"/>
  <c r="W101" i="18"/>
  <c r="X101" i="18"/>
  <c r="W132" i="18"/>
  <c r="X132" i="18"/>
  <c r="X104" i="18"/>
  <c r="W104" i="18"/>
  <c r="X99" i="18"/>
  <c r="W100" i="18"/>
  <c r="X100" i="18"/>
  <c r="X29" i="18"/>
  <c r="W62" i="18"/>
  <c r="X62" i="18"/>
  <c r="X97" i="18"/>
  <c r="W98" i="18"/>
  <c r="X98" i="18"/>
  <c r="X95" i="18"/>
  <c r="W96" i="18"/>
  <c r="X96" i="18"/>
  <c r="X94" i="18"/>
  <c r="W93" i="18"/>
  <c r="X93" i="18"/>
  <c r="W28" i="18"/>
  <c r="X28" i="18"/>
  <c r="X27" i="18"/>
  <c r="W61" i="18"/>
  <c r="X61" i="18"/>
  <c r="W26" i="18"/>
  <c r="W60" i="18"/>
  <c r="X60" i="18"/>
  <c r="W59" i="18"/>
  <c r="X59" i="18"/>
  <c r="W72" i="18"/>
  <c r="X72" i="18"/>
  <c r="S144" i="18"/>
  <c r="S143" i="18"/>
  <c r="U143" i="18" s="1"/>
  <c r="W92" i="18"/>
  <c r="X92" i="18"/>
  <c r="X58" i="18"/>
  <c r="W58" i="18"/>
  <c r="W87" i="18"/>
  <c r="X87" i="18"/>
  <c r="W90" i="18"/>
  <c r="X90" i="18"/>
  <c r="W83" i="18"/>
  <c r="X83" i="18"/>
  <c r="W88" i="18"/>
  <c r="X88" i="18"/>
  <c r="X23" i="18"/>
  <c r="W25" i="18"/>
  <c r="X25" i="18"/>
  <c r="W20" i="18"/>
  <c r="X20" i="18"/>
  <c r="W85" i="18"/>
  <c r="X85" i="18"/>
  <c r="W22" i="18"/>
  <c r="X22" i="18"/>
  <c r="X91" i="18"/>
  <c r="W91" i="18"/>
  <c r="W82" i="18"/>
  <c r="X82" i="18"/>
  <c r="W81" i="18"/>
  <c r="X81" i="18"/>
  <c r="W86" i="18"/>
  <c r="X86" i="18"/>
  <c r="W84" i="18"/>
  <c r="X84" i="18"/>
  <c r="X21" i="18"/>
  <c r="W21" i="18"/>
  <c r="W89" i="18"/>
  <c r="X89" i="18"/>
  <c r="W24" i="18"/>
  <c r="X24" i="18"/>
  <c r="AL71" i="18"/>
  <c r="AM72" i="18"/>
  <c r="X109" i="18" l="1"/>
  <c r="W110" i="18"/>
  <c r="U145" i="18"/>
  <c r="V145" i="18" s="1"/>
  <c r="N34" i="18"/>
  <c r="L21" i="18" s="1"/>
  <c r="U144" i="18"/>
  <c r="V144" i="18" s="1"/>
  <c r="N59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11" i="18" l="1"/>
  <c r="S112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12" i="18" l="1"/>
  <c r="S113" i="18"/>
  <c r="S114" i="18" s="1"/>
  <c r="S115" i="18" s="1"/>
  <c r="W111" i="18"/>
  <c r="X111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3" i="18" l="1"/>
  <c r="X112" i="18"/>
  <c r="W112" i="18"/>
  <c r="G61" i="14"/>
  <c r="E60" i="14"/>
  <c r="I297" i="20"/>
  <c r="K297" i="20"/>
  <c r="J297" i="20"/>
  <c r="G296" i="20"/>
  <c r="AL65" i="18"/>
  <c r="AM66" i="18"/>
  <c r="W113" i="18" l="1"/>
  <c r="X113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4" i="18" l="1"/>
  <c r="E55" i="14"/>
  <c r="G56" i="14"/>
  <c r="J292" i="20"/>
  <c r="I292" i="20"/>
  <c r="G291" i="20"/>
  <c r="K292" i="20"/>
  <c r="AM61" i="18"/>
  <c r="AL60" i="18"/>
  <c r="X114" i="18" l="1"/>
  <c r="W114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6" i="18" l="1"/>
  <c r="S117" i="18" s="1"/>
  <c r="S118" i="18" s="1"/>
  <c r="S119" i="18" s="1"/>
  <c r="E51" i="14"/>
  <c r="G52" i="14"/>
  <c r="J288" i="20"/>
  <c r="K288" i="20"/>
  <c r="G287" i="20"/>
  <c r="I288" i="20"/>
  <c r="AL56" i="18"/>
  <c r="AM57" i="18"/>
  <c r="B105" i="13"/>
  <c r="B196" i="13" s="1"/>
  <c r="V115" i="18" l="1"/>
  <c r="W115" i="18" s="1"/>
  <c r="V116" i="18"/>
  <c r="W116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5" i="18" l="1"/>
  <c r="X116" i="18"/>
  <c r="E49" i="14"/>
  <c r="G50" i="14"/>
  <c r="G285" i="20"/>
  <c r="J286" i="20"/>
  <c r="I286" i="20"/>
  <c r="K286" i="20"/>
  <c r="AM55" i="18"/>
  <c r="AL54" i="18"/>
  <c r="G49" i="14" l="1"/>
  <c r="E48" i="14"/>
  <c r="V117" i="18"/>
  <c r="G284" i="20"/>
  <c r="K285" i="20"/>
  <c r="J285" i="20"/>
  <c r="I285" i="20"/>
  <c r="AL53" i="18"/>
  <c r="AM54" i="18"/>
  <c r="G48" i="14" l="1"/>
  <c r="E47" i="14"/>
  <c r="W117" i="18"/>
  <c r="X11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8" i="18"/>
  <c r="K280" i="20"/>
  <c r="G279" i="20"/>
  <c r="J280" i="20"/>
  <c r="I280" i="20"/>
  <c r="AL48" i="18"/>
  <c r="AM49" i="18"/>
  <c r="E248" i="15"/>
  <c r="G43" i="14" l="1"/>
  <c r="E42" i="14"/>
  <c r="W118" i="18"/>
  <c r="X118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20" i="18"/>
  <c r="S121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9" i="18"/>
  <c r="J268" i="20"/>
  <c r="I268" i="20"/>
  <c r="G267" i="20"/>
  <c r="K268" i="20"/>
  <c r="AL36" i="18"/>
  <c r="AM37" i="18"/>
  <c r="L57" i="33"/>
  <c r="E241" i="15"/>
  <c r="G31" i="14" l="1"/>
  <c r="E30" i="14"/>
  <c r="W119" i="18"/>
  <c r="X119" i="18"/>
  <c r="I267" i="20"/>
  <c r="K267" i="20"/>
  <c r="G266" i="20"/>
  <c r="J267" i="20"/>
  <c r="AM36" i="18"/>
  <c r="AL35" i="18"/>
  <c r="D168" i="20"/>
  <c r="E29" i="14" l="1"/>
  <c r="G30" i="14"/>
  <c r="V120" i="18"/>
  <c r="W120" i="18" s="1"/>
  <c r="J266" i="20"/>
  <c r="G265" i="20"/>
  <c r="K266" i="20"/>
  <c r="I266" i="20"/>
  <c r="AL34" i="18"/>
  <c r="AM35" i="18"/>
  <c r="E240" i="15"/>
  <c r="E239" i="15"/>
  <c r="X120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21" i="18" l="1"/>
  <c r="W121" i="18" s="1"/>
  <c r="S122" i="18"/>
  <c r="S123" i="18" s="1"/>
  <c r="S124" i="18" s="1"/>
  <c r="S125" i="18" s="1"/>
  <c r="S126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6" i="18" l="1"/>
  <c r="W126" i="18" s="1"/>
  <c r="S127" i="18"/>
  <c r="X121" i="18"/>
  <c r="V122" i="18"/>
  <c r="X122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X126" i="18" l="1"/>
  <c r="S128" i="18"/>
  <c r="V127" i="18"/>
  <c r="W122" i="18"/>
  <c r="E24" i="14"/>
  <c r="G25" i="14"/>
  <c r="J261" i="20"/>
  <c r="I261" i="20"/>
  <c r="K261" i="20"/>
  <c r="G260" i="20"/>
  <c r="D255" i="15"/>
  <c r="F256" i="15"/>
  <c r="AL29" i="18"/>
  <c r="AM30" i="18"/>
  <c r="V128" i="18" l="1"/>
  <c r="S129" i="18"/>
  <c r="W127" i="18"/>
  <c r="X127" i="18"/>
  <c r="W128" i="18"/>
  <c r="X128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29" i="18" l="1"/>
  <c r="S130" i="18"/>
  <c r="W129" i="18"/>
  <c r="X129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30" i="18" l="1"/>
  <c r="S131" i="18"/>
  <c r="V131" i="18" s="1"/>
  <c r="W130" i="18"/>
  <c r="X130" i="18"/>
  <c r="V123" i="18"/>
  <c r="W123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W131" i="18" l="1"/>
  <c r="X131" i="18"/>
  <c r="X123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V124" i="18" l="1"/>
  <c r="X124" i="18" s="1"/>
  <c r="G254" i="20"/>
  <c r="J255" i="20"/>
  <c r="I255" i="20"/>
  <c r="K255" i="20"/>
  <c r="D249" i="15"/>
  <c r="F250" i="15"/>
  <c r="AM24" i="18"/>
  <c r="AL23" i="18"/>
  <c r="E177" i="13"/>
  <c r="G178" i="13"/>
  <c r="W124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N10" i="41" s="1"/>
  <c r="M11" i="41"/>
  <c r="N11" i="41" s="1"/>
  <c r="M13" i="41"/>
  <c r="N13" i="41" s="1"/>
  <c r="M14" i="41"/>
  <c r="N14" i="41" s="1"/>
  <c r="M15" i="41"/>
  <c r="N15" i="41" s="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N40" i="41" s="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N66" i="41" s="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N95" i="41" s="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N175" i="41" s="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N191" i="41" s="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N215" i="41" s="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N240" i="41" s="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N250" i="41" s="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N280" i="41" s="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N330" i="41" s="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N360" i="41" s="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N410" i="41" s="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N440" i="41" s="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N471" i="41" s="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N480" i="41" s="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N520" i="41" s="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N535" i="41" s="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N560" i="41" s="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N591" i="41" s="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N635" i="41" s="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N696" i="41" s="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N736" i="41" s="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N800" i="41" s="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N840" i="41" s="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N880" i="41" s="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N895" i="41" s="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N905" i="41" s="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N915" i="41" s="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N951" i="41" s="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N975" i="41" s="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N995" i="41" s="1"/>
  <c r="M996" i="41"/>
  <c r="N996" i="41" s="1"/>
  <c r="M998" i="41"/>
  <c r="N998" i="41" s="1"/>
  <c r="M999" i="41"/>
  <c r="N999" i="41" s="1"/>
  <c r="M1000" i="41"/>
  <c r="N1000" i="41" s="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N1055" i="41" s="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N1113" i="41" s="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N1240" i="41" s="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N1280" i="41" s="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N1295" i="41" s="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N1320" i="41" s="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N1346" i="41" s="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N1360" i="41" s="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N1410" i="41" s="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N1426" i="41" s="1"/>
  <c r="M1428" i="41"/>
  <c r="N1428" i="41" s="1"/>
  <c r="M1429" i="41"/>
  <c r="N1429" i="41" s="1"/>
  <c r="M1430" i="41"/>
  <c r="N1430" i="41" s="1"/>
  <c r="M1431" i="41"/>
  <c r="N1431" i="41" s="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N1480" i="41" s="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N1490" i="41" s="1"/>
  <c r="M1491" i="41"/>
  <c r="N1491" i="41" s="1"/>
  <c r="M1493" i="41"/>
  <c r="N1493" i="41" s="1"/>
  <c r="M1494" i="41"/>
  <c r="N1494" i="41" s="1"/>
  <c r="M1495" i="41"/>
  <c r="N1495" i="41" s="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N1600" i="41" s="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N1640" i="41" s="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N1656" i="41" s="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N1671" i="41" s="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N1720" i="41" s="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N1735" i="41" s="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N1800" i="41" s="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N1855" i="41" s="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N1866" i="41" s="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N1895" i="41" s="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N2050" i="41" s="1"/>
  <c r="M2051" i="41"/>
  <c r="N2051" i="41" s="1"/>
  <c r="M2053" i="41"/>
  <c r="N2053" i="41" s="1"/>
  <c r="M2054" i="41"/>
  <c r="N2054" i="41" s="1"/>
  <c r="M2055" i="41"/>
  <c r="N2055" i="41" s="1"/>
  <c r="M2056" i="41"/>
  <c r="N2056" i="41" s="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N2080" i="41" s="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N2151" i="41" s="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N2160" i="41" s="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N2255" i="41" s="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N2295" i="41" s="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N2360" i="41" s="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N2391" i="41" s="1"/>
  <c r="M3" i="41"/>
  <c r="N3" i="41" s="1"/>
  <c r="M4" i="41"/>
  <c r="N4" i="41" s="1"/>
  <c r="M5" i="41"/>
  <c r="N5" i="41" s="1"/>
  <c r="M6" i="41"/>
  <c r="N6" i="41" s="1"/>
  <c r="N200" i="41"/>
  <c r="N608" i="41"/>
  <c r="N611" i="41"/>
  <c r="N688" i="41"/>
  <c r="N1088" i="41"/>
  <c r="K2337" i="41"/>
  <c r="N210" i="41"/>
  <c r="N263" i="41"/>
  <c r="N320" i="41"/>
  <c r="N328" i="41"/>
  <c r="N370" i="41"/>
  <c r="N383" i="41"/>
  <c r="N570" i="41"/>
  <c r="N641" i="41"/>
  <c r="N775" i="41"/>
  <c r="N784" i="41"/>
  <c r="N850" i="41"/>
  <c r="N935" i="41"/>
  <c r="N1063" i="41"/>
  <c r="N1231" i="41"/>
  <c r="N1255" i="41"/>
  <c r="N1330" i="41"/>
  <c r="N1386" i="41"/>
  <c r="N1400" i="41"/>
  <c r="N1455" i="41"/>
  <c r="N1528" i="41"/>
  <c r="N1776" i="41"/>
  <c r="N2015" i="41"/>
  <c r="N2016" i="41"/>
  <c r="N2175" i="41"/>
  <c r="N221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997" i="41" l="1"/>
  <c r="L837" i="41"/>
  <c r="N837" i="41" s="1"/>
  <c r="L757" i="41"/>
  <c r="L517" i="41"/>
  <c r="L1317" i="41"/>
  <c r="L917" i="41"/>
  <c r="L197" i="41"/>
  <c r="N197" i="41" s="1"/>
  <c r="L117" i="41"/>
  <c r="L2207" i="41"/>
  <c r="L1567" i="41"/>
  <c r="L1547" i="41"/>
  <c r="L1387" i="41"/>
  <c r="L1247" i="41"/>
  <c r="L307" i="41"/>
  <c r="L227" i="41"/>
  <c r="N227" i="41" s="1"/>
  <c r="L147" i="41"/>
  <c r="V125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N272" i="41" s="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N262" i="41" s="1"/>
  <c r="L42" i="41"/>
  <c r="N42" i="41" s="1"/>
  <c r="L1157" i="41"/>
  <c r="L2387" i="41"/>
  <c r="N2387" i="41" s="1"/>
  <c r="L2357" i="41"/>
  <c r="N2357" i="41" s="1"/>
  <c r="L2277" i="41"/>
  <c r="N2277" i="41" s="1"/>
  <c r="L2217" i="41"/>
  <c r="L2197" i="41"/>
  <c r="L2157" i="41"/>
  <c r="N2157" i="41" s="1"/>
  <c r="L1582" i="41"/>
  <c r="N1582" i="41" s="1"/>
  <c r="L1562" i="41"/>
  <c r="N1562" i="41" s="1"/>
  <c r="L1522" i="41"/>
  <c r="L1482" i="41"/>
  <c r="N1482" i="41" s="1"/>
  <c r="L1442" i="41"/>
  <c r="N1442" i="41" s="1"/>
  <c r="L1422" i="41"/>
  <c r="N1422" i="41" s="1"/>
  <c r="L1362" i="41"/>
  <c r="L1322" i="41"/>
  <c r="N1322" i="41" s="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N1102" i="41" s="1"/>
  <c r="L2102" i="41"/>
  <c r="N2102" i="41" s="1"/>
  <c r="L1922" i="41"/>
  <c r="N1922" i="41" s="1"/>
  <c r="L1882" i="41"/>
  <c r="N1882" i="41" s="1"/>
  <c r="L62" i="41"/>
  <c r="N62" i="41" s="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N1577" i="41" s="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N1632" i="41" s="1"/>
  <c r="L52" i="41"/>
  <c r="N52" i="41" s="1"/>
  <c r="L2087" i="41"/>
  <c r="N2087" i="41" s="1"/>
  <c r="L1032" i="41"/>
  <c r="N1032" i="41" s="1"/>
  <c r="L2052" i="41"/>
  <c r="N2052" i="41" s="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N637" i="41" s="1"/>
  <c r="L362" i="41"/>
  <c r="N362" i="41" s="1"/>
  <c r="L2247" i="41"/>
  <c r="N2247" i="41" s="1"/>
  <c r="L1957" i="41"/>
  <c r="N1957" i="41" s="1"/>
  <c r="L1652" i="41"/>
  <c r="N1652" i="41" s="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N867" i="41" s="1"/>
  <c r="L2107" i="41"/>
  <c r="N2107" i="41" s="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N1427" i="41" s="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N102" i="41" s="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357" i="41"/>
  <c r="N1302" i="41"/>
  <c r="L972" i="41"/>
  <c r="N972" i="41" s="1"/>
  <c r="L822" i="41"/>
  <c r="N822" i="41" s="1"/>
  <c r="L542" i="41"/>
  <c r="N542" i="41" s="1"/>
  <c r="L2372" i="41"/>
  <c r="N2372" i="41" s="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L1462" i="41"/>
  <c r="N1462" i="41" s="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N1332" i="41" s="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N32" i="41" s="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N462" i="41" s="1"/>
  <c r="L427" i="41"/>
  <c r="N427" i="41" s="1"/>
  <c r="N317" i="41"/>
  <c r="L222" i="41"/>
  <c r="N222" i="41" s="1"/>
  <c r="L112" i="41"/>
  <c r="N112" i="41" s="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397" i="41"/>
  <c r="N372" i="41"/>
  <c r="N307" i="41"/>
  <c r="L187" i="41"/>
  <c r="N187" i="41" s="1"/>
  <c r="N10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1952" i="41"/>
  <c r="N1772" i="41"/>
  <c r="N1752" i="41"/>
  <c r="N1667" i="41"/>
  <c r="N1607" i="41"/>
  <c r="N1522" i="41"/>
  <c r="N1412" i="41"/>
  <c r="N1387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125" i="18" l="1"/>
  <c r="W125" i="18"/>
  <c r="U2123" i="4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2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3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2" i="18" l="1"/>
  <c r="F24" i="18" s="1"/>
  <c r="G113" i="20"/>
  <c r="J114" i="20"/>
  <c r="I114" i="20"/>
  <c r="K114" i="20"/>
  <c r="L63" i="18"/>
  <c r="E33" i="13"/>
  <c r="G34" i="13"/>
  <c r="F108" i="15"/>
  <c r="C20" i="18"/>
  <c r="G20" i="14"/>
  <c r="G21" i="14"/>
  <c r="G112" i="20" l="1"/>
  <c r="K113" i="20"/>
  <c r="J113" i="20"/>
  <c r="I113" i="20"/>
  <c r="L64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43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<sst xmlns="http://schemas.openxmlformats.org/spreadsheetml/2006/main" count="11836" uniqueCount="5072">
  <si>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</si>
  <si>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</si>
  <si>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</si>
  <si>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</si>
  <si>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</si>
  <si>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</si>
  <si>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</si>
  <si>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</si>
  <si>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</si>
  <si>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</si>
  <si>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</si>
  <si>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</si>
  <si>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</si>
  <si>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</si>
  <si>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</si>
  <si>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</si>
  <si>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</si>
  <si>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</si>
  <si>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</si>
  <si>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</si>
  <si>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</si>
  <si>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</si>
  <si>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</si>
  <si>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</si>
  <si>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</si>
  <si>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</si>
  <si>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</si>
  <si>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</si>
  <si>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</si>
  <si>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</si>
  <si>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</si>
  <si>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</si>
  <si>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</si>
  <si>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</si>
  <si>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</si>
  <si>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</si>
  <si>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</si>
  <si>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</si>
  <si>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</si>
  <si>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</si>
  <si>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</si>
  <si>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</si>
  <si>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</si>
  <si>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</si>
  <si>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</si>
  <si>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</si>
  <si>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</si>
  <si>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</si>
  <si>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</si>
  <si>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</si>
  <si>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</si>
  <si>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</si>
  <si>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</si>
  <si>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</si>
  <si>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</si>
  <si>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</si>
  <si>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</si>
  <si>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</si>
  <si>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</si>
  <si>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</si>
  <si>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</si>
  <si>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</si>
  <si>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</si>
  <si>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</si>
  <si>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</si>
  <si>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</si>
  <si>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</si>
  <si>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</si>
  <si>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</si>
  <si>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</si>
  <si>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</si>
  <si>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</si>
  <si>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</si>
  <si>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</si>
  <si>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</si>
  <si>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</si>
  <si>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</si>
  <si>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</si>
  <si>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</si>
  <si>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</si>
  <si>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</si>
  <si>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</si>
  <si>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</si>
  <si>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</si>
  <si>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</si>
  <si>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</si>
  <si>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</si>
  <si>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</si>
  <si>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</si>
  <si>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</si>
  <si>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</si>
  <si>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</si>
  <si>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</si>
  <si>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</si>
  <si>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</si>
  <si>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</si>
  <si>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</si>
  <si>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</si>
  <si>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</si>
  <si>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</si>
  <si>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</si>
  <si>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</si>
  <si>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</si>
  <si>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</si>
  <si>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</si>
  <si>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</si>
  <si>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</si>
  <si>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</si>
  <si>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</si>
  <si>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</si>
  <si>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</si>
  <si>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</si>
  <si>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</si>
  <si>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</si>
  <si>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</si>
  <si>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</si>
  <si>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</si>
  <si>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</si>
  <si>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</si>
  <si>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</si>
  <si>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</si>
  <si>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</si>
  <si>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</si>
  <si>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</si>
  <si>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</si>
  <si>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</si>
  <si>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</si>
  <si>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</si>
  <si>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</si>
  <si>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</si>
  <si>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</si>
  <si>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</si>
  <si>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</si>
  <si>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</si>
  <si>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</si>
  <si>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</si>
  <si>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</si>
  <si>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</si>
  <si>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</si>
  <si>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</si>
  <si>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</si>
  <si>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</si>
  <si>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</si>
  <si>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</si>
  <si>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</si>
  <si>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</si>
  <si>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</si>
  <si>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</si>
  <si>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</si>
  <si>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</si>
  <si>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</si>
  <si>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</si>
  <si>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</si>
  <si>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</si>
  <si>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</si>
  <si>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</si>
  <si>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</si>
  <si>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</si>
  <si>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</si>
  <si>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</si>
  <si>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</si>
  <si>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</si>
  <si>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</si>
  <si>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</si>
  <si>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</si>
  <si>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</si>
  <si>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</si>
  <si>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</si>
  <si>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</si>
  <si>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</si>
  <si>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</si>
  <si>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</si>
  <si>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</si>
  <si>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</si>
  <si>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</si>
  <si>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</si>
  <si>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</si>
  <si>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</si>
  <si>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</si>
  <si>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</si>
  <si>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</si>
  <si>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</si>
  <si>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</si>
  <si>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</si>
  <si>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</si>
  <si>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</si>
  <si>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</si>
  <si>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</si>
  <si>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</si>
  <si>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</si>
  <si>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</si>
  <si>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</si>
  <si>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</si>
  <si>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</si>
  <si>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</si>
  <si>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</si>
  <si>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</si>
  <si>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</si>
  <si>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</si>
  <si>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</si>
  <si>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</si>
  <si>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</si>
  <si>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</si>
  <si>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</si>
  <si>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</si>
  <si>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</si>
  <si>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</si>
  <si>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</si>
  <si>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</si>
  <si>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</si>
  <si>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</si>
  <si>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</si>
  <si>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</si>
  <si>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</si>
  <si>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</si>
  <si>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</si>
  <si>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</si>
  <si>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</si>
  <si>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</si>
  <si>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</si>
  <si>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</si>
  <si>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</si>
  <si>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</si>
  <si>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</si>
  <si>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</si>
  <si>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</si>
  <si>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</si>
  <si>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</si>
  <si>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</si>
  <si>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</si>
  <si>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</si>
  <si>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</si>
  <si>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</si>
  <si>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</si>
  <si>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</si>
  <si>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</si>
  <si>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</si>
  <si>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</si>
  <si>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</si>
  <si>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</si>
  <si>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</si>
  <si>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</si>
  <si>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</si>
  <si>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</si>
  <si>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</si>
  <si>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</si>
  <si>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</si>
  <si>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</si>
  <si>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</si>
  <si>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</si>
  <si>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</si>
  <si>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</si>
  <si>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</si>
  <si>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</si>
  <si>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</si>
  <si>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</si>
  <si>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</si>
  <si>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</si>
  <si>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</si>
  <si>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</si>
  <si>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</si>
  <si>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</si>
  <si>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</si>
  <si>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</si>
  <si>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</si>
  <si>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</si>
  <si>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</si>
  <si>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</si>
  <si>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</si>
  <si>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</si>
  <si>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</si>
  <si>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</si>
  <si>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</si>
  <si>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</si>
  <si>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</si>
  <si>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</si>
  <si>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</si>
  <si>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</si>
  <si>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</si>
  <si>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</si>
  <si>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</si>
  <si>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</si>
  <si>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</si>
  <si>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</si>
  <si>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</si>
  <si>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</si>
  <si>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</si>
  <si>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</si>
  <si>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</si>
  <si>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</si>
  <si>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</si>
  <si>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</si>
  <si>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</si>
  <si>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</si>
  <si>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</si>
  <si>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</si>
  <si>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</si>
  <si>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</si>
  <si>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</si>
  <si>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</si>
  <si>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</si>
  <si>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</si>
  <si>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</si>
  <si>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</si>
  <si>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</si>
  <si>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</si>
  <si>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</si>
  <si>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</si>
  <si>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</si>
  <si>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</si>
  <si>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</si>
  <si>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</si>
  <si>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</si>
  <si>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</si>
  <si>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</si>
  <si>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</si>
  <si>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</si>
  <si>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</si>
  <si>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</si>
  <si>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</si>
  <si>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</si>
  <si>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</si>
  <si>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</si>
  <si>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</si>
  <si>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</si>
  <si>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</si>
  <si>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</si>
  <si>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</si>
  <si>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</si>
  <si>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</si>
  <si>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</si>
  <si>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</si>
  <si>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</si>
  <si>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</si>
  <si>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</si>
  <si>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</si>
  <si>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</si>
  <si>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</si>
  <si>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</si>
  <si>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</si>
  <si>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</si>
  <si>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</si>
  <si>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</si>
  <si>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</si>
  <si>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</si>
  <si>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</si>
  <si>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</si>
  <si>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</si>
  <si>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</si>
  <si>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</si>
  <si>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</si>
  <si>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</si>
  <si>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</si>
  <si>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</si>
  <si>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</si>
  <si>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</si>
  <si>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</si>
  <si>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</si>
  <si>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</si>
  <si>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</si>
  <si>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</si>
  <si>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</si>
  <si>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</si>
  <si>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</si>
  <si>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</si>
  <si>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</si>
  <si>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</si>
  <si>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</si>
  <si>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</si>
  <si>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</si>
  <si>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</si>
  <si>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</si>
  <si>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</si>
  <si>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</si>
  <si>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</si>
  <si>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</si>
  <si>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</si>
  <si>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</si>
  <si>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</si>
  <si>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</si>
  <si>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</si>
  <si>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</si>
  <si>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</si>
  <si>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</si>
  <si>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</si>
  <si>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</si>
  <si>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</si>
  <si>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</si>
  <si>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</si>
  <si>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</si>
  <si>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</si>
  <si>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</si>
  <si>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</si>
  <si>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</si>
  <si>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</si>
  <si>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</si>
  <si>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</si>
  <si>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</si>
  <si>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</si>
  <si>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</si>
  <si>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</si>
  <si>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</si>
  <si>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</si>
  <si>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</si>
  <si>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</si>
  <si>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</si>
  <si>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</si>
  <si>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</si>
  <si>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</si>
  <si>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</si>
  <si>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</si>
  <si>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</si>
  <si>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</si>
  <si>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</si>
  <si>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</si>
  <si>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</si>
  <si>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</si>
  <si>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</si>
  <si>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</si>
  <si>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</si>
  <si>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</si>
  <si>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</si>
  <si>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</si>
  <si>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</si>
  <si>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</si>
  <si>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</si>
  <si>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</si>
  <si>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</si>
  <si>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</si>
  <si>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</si>
  <si>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</si>
  <si>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</si>
  <si>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</si>
  <si>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</si>
  <si>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</si>
  <si>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</si>
  <si>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</si>
  <si>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</si>
  <si>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</si>
  <si>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</si>
  <si>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</si>
  <si>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</si>
  <si>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</si>
  <si>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</si>
  <si>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</si>
  <si>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</si>
  <si>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</si>
  <si>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</si>
  <si>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</si>
  <si>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</si>
  <si>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</si>
  <si>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</si>
  <si>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</si>
  <si>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</si>
  <si>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</si>
  <si>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</si>
  <si>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</si>
  <si>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</si>
  <si>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</si>
  <si>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</si>
  <si>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</si>
  <si>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</si>
  <si>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</si>
  <si>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</si>
  <si>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</si>
  <si>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</si>
  <si>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</si>
  <si>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</si>
  <si>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</si>
  <si>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</si>
  <si>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</si>
  <si>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</si>
  <si>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</si>
  <si>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</si>
  <si>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</si>
  <si>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</si>
  <si>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</si>
  <si>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</si>
  <si>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</si>
  <si>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</si>
  <si>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</si>
  <si>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</si>
  <si>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</si>
  <si>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</si>
  <si>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</si>
  <si>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</si>
  <si>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</si>
  <si>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</si>
  <si>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</si>
  <si>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</si>
  <si>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</si>
  <si>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</si>
  <si>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</si>
  <si>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</si>
  <si>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</si>
  <si>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</si>
  <si>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</si>
  <si>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</si>
  <si>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</si>
  <si>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</si>
  <si>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</si>
  <si>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</si>
  <si>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</si>
  <si>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</si>
  <si>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</si>
  <si>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</si>
  <si>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</si>
  <si>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</si>
  <si>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</si>
  <si>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</si>
  <si>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</si>
  <si>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</si>
  <si>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</si>
  <si>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</si>
  <si>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</si>
  <si>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</si>
  <si>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</si>
  <si>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</si>
  <si>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</si>
  <si>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</si>
  <si>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</si>
  <si>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</si>
  <si>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</si>
  <si>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</si>
  <si>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</si>
  <si>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</si>
  <si>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</si>
  <si>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</si>
  <si>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</si>
  <si>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</si>
  <si>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</si>
  <si>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</si>
  <si>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</si>
  <si>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</si>
  <si>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</si>
  <si>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</si>
  <si>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</si>
  <si>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</si>
  <si>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</si>
  <si>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</si>
  <si>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</si>
  <si>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</si>
  <si>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</si>
  <si>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</si>
  <si>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</si>
  <si>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</si>
  <si>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</si>
  <si>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</si>
  <si>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</si>
  <si>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</si>
  <si>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</si>
  <si>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</si>
  <si>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</si>
  <si>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</si>
  <si>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</si>
  <si>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</si>
  <si>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</si>
  <si>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</si>
  <si>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</si>
  <si>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</si>
  <si>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</si>
  <si>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</si>
  <si>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</si>
  <si>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</si>
  <si>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</si>
  <si>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</si>
  <si>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</si>
  <si>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</si>
  <si>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</si>
  <si>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</si>
  <si>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</si>
  <si>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</si>
  <si>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</si>
  <si>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</si>
  <si>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</si>
  <si>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</si>
  <si>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</si>
  <si>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</si>
  <si>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</si>
  <si>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</si>
  <si>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</si>
  <si>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</si>
  <si>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</si>
  <si>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</si>
  <si>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</si>
  <si>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</si>
  <si>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</si>
  <si>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</si>
  <si>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</si>
  <si>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</si>
  <si>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</si>
  <si>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</si>
  <si>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</si>
  <si>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</si>
  <si>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</si>
  <si>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</si>
  <si>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</si>
  <si>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</si>
  <si>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</si>
  <si>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</si>
  <si>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</si>
  <si>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</si>
  <si>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</si>
  <si>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</si>
  <si>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</si>
  <si>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</si>
  <si>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</si>
  <si>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</si>
  <si>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</si>
  <si>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</si>
  <si>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</si>
  <si>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</si>
  <si>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</si>
  <si>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</si>
  <si>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</si>
  <si>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</si>
  <si>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</si>
  <si>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</si>
  <si>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</si>
  <si>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</si>
  <si>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</si>
  <si>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</si>
  <si>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</si>
  <si>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</si>
  <si>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</si>
  <si>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</si>
  <si>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</si>
  <si>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</si>
  <si>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</si>
  <si>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</si>
  <si>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</si>
  <si>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</si>
  <si>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</si>
  <si>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</si>
  <si>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</si>
  <si>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</si>
  <si>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</si>
  <si>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</si>
  <si>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</si>
  <si>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</si>
  <si>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</si>
  <si>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</si>
  <si>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</si>
  <si>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</si>
  <si>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</si>
  <si>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</si>
  <si>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</si>
  <si>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</si>
  <si>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</si>
  <si>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</si>
  <si>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</si>
  <si>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</si>
  <si>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</si>
  <si>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</si>
  <si>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</si>
  <si>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</si>
  <si>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</si>
  <si>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</si>
  <si>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</si>
  <si>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</si>
  <si>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</si>
  <si>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</si>
  <si>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</si>
  <si>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</si>
  <si>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</si>
  <si>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</si>
  <si>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</si>
  <si>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</si>
  <si>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</si>
  <si>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</si>
  <si>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</si>
  <si>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</si>
  <si>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</si>
  <si>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</si>
  <si>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</si>
  <si>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</si>
  <si>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</si>
  <si>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</si>
  <si>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</si>
  <si>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</si>
  <si>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</si>
  <si>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</si>
  <si>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</si>
  <si>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</si>
  <si>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</si>
  <si>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</si>
  <si>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</si>
  <si>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</si>
  <si>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</si>
  <si>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</si>
  <si>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</si>
  <si>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</si>
  <si>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</si>
  <si>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</si>
  <si>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</si>
  <si>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</si>
  <si>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</si>
  <si>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</si>
  <si>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</si>
  <si>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</si>
  <si>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</si>
  <si>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</si>
  <si>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</si>
  <si>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</si>
  <si>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</si>
  <si>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</si>
  <si>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</si>
  <si>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</si>
  <si>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</si>
  <si>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</si>
  <si>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</si>
  <si>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</si>
  <si>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</si>
  <si>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</si>
  <si>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</si>
  <si>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</si>
  <si>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</si>
  <si>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</si>
  <si>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</si>
  <si>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</si>
  <si>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</si>
  <si>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</si>
  <si>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</si>
  <si>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</si>
  <si>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</si>
  <si>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</si>
  <si>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</si>
  <si>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</si>
  <si>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</si>
  <si>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</si>
  <si>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</si>
  <si>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</si>
  <si>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</si>
  <si>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</si>
  <si>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</si>
  <si>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</si>
  <si>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</si>
  <si>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</si>
  <si>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</si>
  <si>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</si>
  <si>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</si>
  <si>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</si>
  <si>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</si>
  <si>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</si>
  <si>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</si>
  <si>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</si>
  <si>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</si>
  <si>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</si>
  <si>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</si>
  <si>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</si>
  <si>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</si>
  <si>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</si>
  <si>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</si>
  <si>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</si>
  <si>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</si>
  <si>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</si>
  <si>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</si>
  <si>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</si>
  <si>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</si>
  <si>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</si>
  <si>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</si>
  <si>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</si>
  <si>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</si>
  <si>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</si>
  <si>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</si>
  <si>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</si>
  <si>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</si>
  <si>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</si>
  <si>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</si>
  <si>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</si>
  <si>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</si>
  <si>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</si>
  <si>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</si>
  <si>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</si>
  <si>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</si>
  <si>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</si>
  <si>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</si>
  <si>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</si>
  <si>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</si>
  <si>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</si>
  <si>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</si>
  <si>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</si>
  <si>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</si>
  <si>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</si>
  <si>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</si>
  <si>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</si>
  <si>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</si>
  <si>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</si>
  <si>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</si>
  <si>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</si>
  <si>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</si>
  <si>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</si>
  <si>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</si>
  <si>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</si>
  <si>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</si>
  <si>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</si>
  <si>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</si>
  <si>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</si>
  <si>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</si>
  <si>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</si>
  <si>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</si>
  <si>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</si>
  <si>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</si>
  <si>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</si>
  <si>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</si>
  <si>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</si>
  <si>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</si>
  <si>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</si>
  <si>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</si>
  <si>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</si>
  <si>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</si>
  <si>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</si>
  <si>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</si>
  <si>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</si>
  <si>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</si>
  <si>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</si>
  <si>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</si>
  <si>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</si>
  <si>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</si>
  <si>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</si>
  <si>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</si>
  <si>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</si>
  <si>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</si>
  <si>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</si>
  <si>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</si>
  <si>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</si>
  <si>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</si>
  <si>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</si>
  <si>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</si>
  <si>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</si>
  <si>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</si>
  <si>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</si>
  <si>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</si>
  <si>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</si>
  <si>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</si>
  <si>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</si>
  <si>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</si>
  <si>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</si>
  <si>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</si>
  <si>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</si>
  <si>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</si>
  <si>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</si>
  <si>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</si>
  <si>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</si>
  <si>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</si>
  <si>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</si>
  <si>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</si>
  <si>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</si>
  <si>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</si>
  <si>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</si>
  <si>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</si>
  <si>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</si>
  <si>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</si>
  <si>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</si>
  <si>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</si>
  <si>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</si>
  <si>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</si>
  <si>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</si>
  <si>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</si>
  <si>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</si>
  <si>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</si>
  <si>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</si>
  <si>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</si>
  <si>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</si>
  <si>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</si>
  <si>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</si>
  <si>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</si>
  <si>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</si>
  <si>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</si>
  <si>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</si>
  <si>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</si>
  <si>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</si>
  <si>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</si>
  <si>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</si>
  <si>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</si>
  <si>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</si>
  <si>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</si>
  <si>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</si>
  <si>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</si>
  <si>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</si>
  <si>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</si>
  <si>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</si>
  <si>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</si>
  <si>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</si>
  <si>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</si>
  <si>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</si>
  <si>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</si>
  <si>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</si>
  <si>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</si>
  <si>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</si>
  <si>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</si>
  <si>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</si>
  <si>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</si>
  <si>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</si>
  <si>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</si>
  <si>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</si>
  <si>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</si>
  <si>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</si>
  <si>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</si>
  <si>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</si>
  <si>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</si>
  <si>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</si>
  <si>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</si>
  <si>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</si>
  <si>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</si>
  <si>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</si>
  <si>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</si>
  <si>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</si>
  <si>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</si>
  <si>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</si>
  <si>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</si>
  <si>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</si>
  <si>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</si>
  <si>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</si>
  <si>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</si>
  <si>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</si>
  <si>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</si>
  <si>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</si>
  <si>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</si>
  <si>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</si>
  <si>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</si>
  <si>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</si>
  <si>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</si>
  <si>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</si>
  <si>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</si>
  <si>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</si>
  <si>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</si>
  <si>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</si>
  <si>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</si>
  <si>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</si>
  <si>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</si>
  <si>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</si>
  <si>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</si>
  <si>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</si>
  <si>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</si>
  <si>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</si>
  <si>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</si>
  <si>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</si>
  <si>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</si>
  <si>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</si>
  <si>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</si>
  <si>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</si>
  <si>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</si>
  <si>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</si>
  <si>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</si>
  <si>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</si>
  <si>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</si>
  <si>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</si>
  <si>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</si>
  <si>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</si>
  <si>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</si>
  <si>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</si>
  <si>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</si>
  <si>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</si>
  <si>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</si>
  <si>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</si>
  <si>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</si>
  <si>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</si>
  <si>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</si>
  <si>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</si>
  <si>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</si>
  <si>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</si>
  <si>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</si>
  <si>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</si>
  <si>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</si>
  <si>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</si>
  <si>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</si>
  <si>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</si>
  <si>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</si>
  <si>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</si>
  <si>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</si>
  <si>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</si>
  <si>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</si>
  <si>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</si>
  <si>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</si>
  <si>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</si>
  <si>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</si>
  <si>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</si>
  <si>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</si>
  <si>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</si>
  <si>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</si>
  <si>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</si>
  <si>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</si>
  <si>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</si>
  <si>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</si>
  <si>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</si>
  <si>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</si>
  <si>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</si>
  <si>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</si>
  <si>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</si>
  <si>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</si>
  <si>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</si>
  <si>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</si>
  <si>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</si>
  <si>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</si>
  <si>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</si>
  <si>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</si>
  <si>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</si>
  <si>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</si>
  <si>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</si>
  <si>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</si>
  <si>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</si>
  <si>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</si>
  <si>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</si>
  <si>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</si>
  <si>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</si>
  <si>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</si>
  <si>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</si>
  <si>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</si>
  <si>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</si>
  <si>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</si>
  <si>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</si>
  <si>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</si>
  <si>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</si>
  <si>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</si>
  <si>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</si>
  <si>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</si>
  <si>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</si>
  <si>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</si>
  <si>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</si>
  <si>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</si>
  <si>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</si>
  <si>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</si>
  <si>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</si>
  <si>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</si>
  <si>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</si>
  <si>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</si>
  <si>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</si>
  <si>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</si>
  <si>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</si>
  <si>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</si>
  <si>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</si>
  <si>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</si>
  <si>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</si>
  <si>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</si>
  <si>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</si>
  <si>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</si>
  <si>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</si>
  <si>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</si>
  <si>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</si>
  <si>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</si>
  <si>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</si>
  <si>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</si>
  <si>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</si>
  <si>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</si>
  <si>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</si>
  <si>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</si>
  <si>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</si>
  <si>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</si>
  <si>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</si>
  <si>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</si>
  <si>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</si>
  <si>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</si>
  <si>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</si>
  <si>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</si>
  <si>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</si>
  <si>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</si>
  <si>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</si>
  <si>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</si>
  <si>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</si>
  <si>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</si>
  <si>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</si>
  <si>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</si>
  <si>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</si>
  <si>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</si>
  <si>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</si>
  <si>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</si>
  <si>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</si>
  <si>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</si>
  <si>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</si>
  <si>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</si>
  <si>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</si>
  <si>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</si>
  <si>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</si>
  <si>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</si>
  <si>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</si>
  <si>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</si>
  <si>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</si>
  <si>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</si>
  <si>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</si>
  <si>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</si>
  <si>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</si>
  <si>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</si>
  <si>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</si>
  <si>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</si>
  <si>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</si>
  <si>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</si>
  <si>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</si>
  <si>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</si>
  <si>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</si>
  <si>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</si>
  <si>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</si>
  <si>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</si>
  <si>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</si>
  <si>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</si>
  <si>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</si>
  <si>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</si>
  <si>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</si>
  <si>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</si>
  <si>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</si>
  <si>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</si>
  <si>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</si>
  <si>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</si>
  <si>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</si>
  <si>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</si>
  <si>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</si>
  <si>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</si>
  <si>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</si>
  <si>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</si>
  <si>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</si>
  <si>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</si>
  <si>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</si>
  <si>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</si>
  <si>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</si>
  <si>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</si>
  <si>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</si>
  <si>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</si>
  <si>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</si>
  <si>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</si>
  <si>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</si>
  <si>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</si>
  <si>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</si>
  <si>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</si>
  <si>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</si>
  <si>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</si>
  <si>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</si>
  <si>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</si>
  <si>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</si>
  <si>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</si>
  <si>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</si>
  <si>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</si>
  <si>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</si>
  <si>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</si>
  <si>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</si>
  <si>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</si>
  <si>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</si>
  <si>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</si>
  <si>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</si>
  <si>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</si>
  <si>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</si>
  <si>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</si>
  <si>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</si>
  <si>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</si>
  <si>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</si>
  <si>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</si>
  <si>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</si>
  <si>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</si>
  <si>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</si>
  <si>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</si>
  <si>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</si>
  <si>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</si>
  <si>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</si>
  <si>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</si>
  <si>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</si>
  <si>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</si>
  <si>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</si>
  <si>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</si>
  <si>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</si>
  <si>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</si>
  <si>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</si>
  <si>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</si>
  <si>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</si>
  <si>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</si>
  <si>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</si>
  <si>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</si>
  <si>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</si>
  <si>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</si>
  <si>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</si>
  <si>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</si>
  <si>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</si>
  <si>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</si>
  <si>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</si>
  <si>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</si>
  <si>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</si>
  <si>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</si>
  <si>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</si>
  <si>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</si>
  <si>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</si>
  <si>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</si>
  <si>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</si>
  <si>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</si>
  <si>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</si>
  <si>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</si>
  <si>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</si>
  <si>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</si>
  <si>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</si>
  <si>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</si>
  <si>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</si>
  <si>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</si>
  <si>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</si>
  <si>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</si>
  <si>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</si>
  <si>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</si>
  <si>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</si>
  <si>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</si>
  <si>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</si>
  <si>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</si>
  <si>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</si>
  <si>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</si>
  <si>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</si>
  <si>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</si>
  <si>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</si>
  <si>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</si>
  <si>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</si>
  <si>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</si>
  <si>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</si>
  <si>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</si>
  <si>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</si>
  <si>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</si>
  <si>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</si>
  <si>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</si>
  <si>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</si>
  <si>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</si>
  <si>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</si>
  <si>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</si>
  <si>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</si>
  <si>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</si>
  <si>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</si>
  <si>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</si>
  <si>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</si>
  <si>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</si>
  <si>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</si>
  <si>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</si>
  <si>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</si>
  <si>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</si>
  <si>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</si>
  <si>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</si>
  <si>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</si>
  <si>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</si>
  <si>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</si>
  <si>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</si>
  <si>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</si>
  <si>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</si>
  <si>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</si>
  <si>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</si>
  <si>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</si>
  <si>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</si>
  <si>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</si>
  <si>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</si>
  <si>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</si>
  <si>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</si>
  <si>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</si>
  <si>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</si>
  <si>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</si>
  <si>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</si>
  <si>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</si>
  <si>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</si>
  <si>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</si>
  <si>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</si>
  <si>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</si>
  <si>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</si>
  <si>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</si>
  <si>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</si>
  <si>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</si>
  <si>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</si>
  <si>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</si>
  <si>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</si>
  <si>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</si>
  <si>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</si>
  <si>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</si>
  <si>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</si>
  <si>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</si>
  <si>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</si>
  <si>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</si>
  <si>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</si>
  <si>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</si>
  <si>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</si>
  <si>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</si>
  <si>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</si>
  <si>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</si>
  <si>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</si>
  <si>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</si>
  <si>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</si>
  <si>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</si>
  <si>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</si>
  <si>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</si>
  <si>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</si>
  <si>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</si>
  <si>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</si>
  <si>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</si>
  <si>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</si>
  <si>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</si>
  <si>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</si>
  <si>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</si>
  <si>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</si>
  <si>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</si>
  <si>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</si>
  <si>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</si>
  <si>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</si>
  <si>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</si>
  <si>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</si>
  <si>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</si>
  <si>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</si>
  <si>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</si>
  <si>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</si>
  <si>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</si>
  <si>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</si>
  <si>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</si>
  <si>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</si>
  <si>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</si>
  <si>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</si>
  <si>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</si>
  <si>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</si>
  <si>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</si>
  <si>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</si>
  <si>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</si>
  <si>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</si>
  <si>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</si>
  <si>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</si>
  <si>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</si>
  <si>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</si>
  <si>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</si>
  <si>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</si>
  <si>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</si>
  <si>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</si>
  <si>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</si>
  <si>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</si>
  <si>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</si>
  <si>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</si>
  <si>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</si>
  <si>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</si>
  <si>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</si>
  <si>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</si>
  <si>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</si>
  <si>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</si>
  <si>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</si>
  <si>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</si>
  <si>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</si>
  <si>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</si>
  <si>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</si>
  <si>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</si>
  <si>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</si>
  <si>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</si>
  <si>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</si>
  <si>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</si>
  <si>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</si>
  <si>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</si>
  <si>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</si>
  <si>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</si>
  <si>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</si>
  <si>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</si>
  <si>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</si>
  <si>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</si>
  <si>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</si>
  <si>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</si>
  <si>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</si>
  <si>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</si>
  <si>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</si>
  <si>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</si>
  <si>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</si>
  <si>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</si>
  <si>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</si>
  <si>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</si>
  <si>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</si>
  <si>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</si>
  <si>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</si>
  <si>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</si>
  <si>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</si>
  <si>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</si>
  <si>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</si>
  <si>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</si>
  <si>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</si>
  <si>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</si>
  <si>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</si>
  <si>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</si>
  <si>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</si>
  <si>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</si>
  <si>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</si>
  <si>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</si>
  <si>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</si>
  <si>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</si>
  <si>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</si>
  <si>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</si>
  <si>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</si>
  <si>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</si>
  <si>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</si>
  <si>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</si>
  <si>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</si>
  <si>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</si>
  <si>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</si>
  <si>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</si>
  <si>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</si>
  <si>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</si>
  <si>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</si>
  <si>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</si>
  <si>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</si>
  <si>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</si>
  <si>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</si>
  <si>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</si>
  <si>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</si>
  <si>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</si>
  <si>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</si>
  <si>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</si>
  <si>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</si>
  <si>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</si>
  <si>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</si>
  <si>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</si>
  <si>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</si>
  <si>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</si>
  <si>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</si>
  <si>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</si>
  <si>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</si>
  <si>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</si>
  <si>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</si>
  <si>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</si>
  <si>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</si>
  <si>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</si>
  <si>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</si>
  <si>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</si>
  <si>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</si>
  <si>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</si>
  <si>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</si>
  <si>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</si>
  <si>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</si>
  <si>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</si>
  <si>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</si>
  <si>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</si>
  <si>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</si>
  <si>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</si>
  <si>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</si>
  <si>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</si>
  <si>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</si>
  <si>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</si>
  <si>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</si>
  <si>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</si>
  <si>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</si>
  <si>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</si>
  <si>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</si>
  <si>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</si>
  <si>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</si>
  <si>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</si>
  <si>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</si>
  <si>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</si>
  <si>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</si>
  <si>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</si>
  <si>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</si>
  <si>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</si>
  <si>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</si>
  <si>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</si>
  <si>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</si>
  <si>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</si>
  <si>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</si>
  <si>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</si>
  <si>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</si>
  <si>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</si>
  <si>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</si>
  <si>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</si>
  <si>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</si>
  <si>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</si>
  <si>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</si>
  <si>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</si>
  <si>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</si>
  <si>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</si>
  <si>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</si>
  <si>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</si>
  <si>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</si>
  <si>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</si>
  <si>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</si>
  <si>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</si>
  <si>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</si>
  <si>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</si>
  <si>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</si>
  <si>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</si>
  <si>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</si>
  <si>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</si>
  <si>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</si>
  <si>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</si>
  <si>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</si>
  <si>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</si>
  <si>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</si>
  <si>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</si>
  <si>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</si>
  <si>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</si>
  <si>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</si>
  <si>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</si>
  <si>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</si>
  <si>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</si>
  <si>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</si>
  <si>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</si>
  <si>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</si>
  <si>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</si>
  <si>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</si>
  <si>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</si>
  <si>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</si>
  <si>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</si>
  <si>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</si>
  <si>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</si>
  <si>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</si>
  <si>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</si>
  <si>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</si>
  <si>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</si>
  <si>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</si>
  <si>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</si>
  <si>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</si>
  <si>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</si>
  <si>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</si>
  <si>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</si>
  <si>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</si>
  <si>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</si>
  <si>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</si>
  <si>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</si>
  <si>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</si>
  <si>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</si>
  <si>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</si>
  <si>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</si>
  <si>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</si>
  <si>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</si>
  <si>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</si>
  <si>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</si>
  <si>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</si>
  <si>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</si>
  <si>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</si>
  <si>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</si>
  <si>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</si>
  <si>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</si>
  <si>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</si>
  <si>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</si>
  <si>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</si>
  <si>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</si>
  <si>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</si>
  <si>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</si>
  <si>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</si>
  <si>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</si>
  <si>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</si>
  <si>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</si>
  <si>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</si>
  <si>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</si>
  <si>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</si>
  <si>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</si>
  <si>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</si>
  <si>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</si>
  <si>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</si>
  <si>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</si>
  <si>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</si>
  <si>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</si>
  <si>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</si>
  <si>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</si>
  <si>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</si>
  <si>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</si>
  <si>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</si>
  <si>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</si>
  <si>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</si>
  <si>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</si>
  <si>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</si>
  <si>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</si>
  <si>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</si>
  <si>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</si>
  <si>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</si>
  <si>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</si>
  <si>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</si>
  <si>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</si>
  <si>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</si>
  <si>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</si>
  <si>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</si>
  <si>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</si>
  <si>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</si>
  <si>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</si>
  <si>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</si>
  <si>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</si>
  <si>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</si>
  <si>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</si>
  <si>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</si>
  <si>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</si>
  <si>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</si>
  <si>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</si>
  <si>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</si>
  <si>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</si>
  <si>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</si>
  <si>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</si>
  <si>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</si>
  <si>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</si>
  <si>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</si>
  <si>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</si>
  <si>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</si>
  <si>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</si>
  <si>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</si>
  <si>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</si>
  <si>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</si>
  <si>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</si>
  <si>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</si>
  <si>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</si>
  <si>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</si>
  <si>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</si>
  <si>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</si>
  <si>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</si>
  <si>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</si>
  <si>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</si>
  <si>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</si>
  <si>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</si>
  <si>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</si>
  <si>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</si>
  <si>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</si>
  <si>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</si>
  <si>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</si>
  <si>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</si>
  <si>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</si>
  <si>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</si>
  <si>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</si>
  <si>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</si>
  <si>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</si>
  <si>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</si>
  <si>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</si>
  <si>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</si>
  <si>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</si>
  <si>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</si>
  <si>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</si>
  <si>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</si>
  <si>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</si>
  <si>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</si>
  <si>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</si>
  <si>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</si>
  <si>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</si>
  <si>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</si>
  <si>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</si>
  <si>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</si>
  <si>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</si>
  <si>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</si>
  <si>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</si>
  <si>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</si>
  <si>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</si>
  <si>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</si>
  <si>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</si>
  <si>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</si>
  <si>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</si>
  <si>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</si>
  <si>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</si>
  <si>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</si>
  <si>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</si>
  <si>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</si>
  <si>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</si>
  <si>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</si>
  <si>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</si>
  <si>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</si>
  <si>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</si>
  <si>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</si>
  <si>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</si>
  <si>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</si>
  <si>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</si>
  <si>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</si>
  <si>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</si>
  <si>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</si>
  <si>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</si>
  <si>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</si>
  <si>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</si>
  <si>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</si>
  <si>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</si>
  <si>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</si>
  <si>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</si>
  <si>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</si>
  <si>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</si>
  <si>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</si>
  <si>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</si>
  <si>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</si>
  <si>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</si>
  <si>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</si>
  <si>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</si>
  <si>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</si>
  <si>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</si>
  <si>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</si>
  <si>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</si>
  <si>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</si>
  <si>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</si>
  <si>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</si>
  <si>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</si>
  <si>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</si>
  <si>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</si>
  <si>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</si>
  <si>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</si>
  <si>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</si>
  <si>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</si>
  <si>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</si>
  <si>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</si>
  <si>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</si>
  <si>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</si>
  <si>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</si>
  <si>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</si>
  <si>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</si>
  <si>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</si>
  <si>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</si>
  <si>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</si>
  <si>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</si>
  <si>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</si>
  <si>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</si>
  <si>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</si>
  <si>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</si>
  <si>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</si>
  <si>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</si>
  <si>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</si>
  <si>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</si>
  <si>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</si>
  <si>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</si>
  <si>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</si>
  <si>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</si>
  <si>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</si>
  <si>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</si>
  <si>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</si>
  <si>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</si>
  <si>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</si>
  <si>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</si>
  <si>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</si>
  <si>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</si>
  <si>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</si>
  <si>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</si>
  <si>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</si>
  <si>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</si>
  <si>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</si>
  <si>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</si>
  <si>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</si>
  <si>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</si>
  <si>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</si>
  <si>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</si>
  <si>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</si>
  <si>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</si>
  <si>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</si>
  <si>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</si>
  <si>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</si>
  <si>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</si>
  <si>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</si>
  <si>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</si>
  <si>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</si>
  <si>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</si>
  <si>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</si>
  <si>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</si>
  <si>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</si>
  <si>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</si>
  <si>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</si>
  <si>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</si>
  <si>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</si>
  <si>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</si>
  <si>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</si>
  <si>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</si>
  <si>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</si>
  <si>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</si>
  <si>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</si>
  <si>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</si>
  <si>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</si>
  <si>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</si>
  <si>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</si>
  <si>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</si>
  <si>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</si>
  <si>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</si>
  <si>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</si>
  <si>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</si>
  <si>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</si>
  <si>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</si>
  <si>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</si>
  <si>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</si>
  <si>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</si>
  <si>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</si>
  <si>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</si>
  <si>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</si>
  <si>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</si>
  <si>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</si>
  <si>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</si>
  <si>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</si>
  <si>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</si>
  <si>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</si>
  <si>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</si>
  <si>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</si>
  <si>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</si>
  <si>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</si>
  <si>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</si>
  <si>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</si>
  <si>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</si>
  <si>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</si>
  <si>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</si>
  <si>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</si>
  <si>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</si>
  <si>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</si>
  <si>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</si>
  <si>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</si>
  <si>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</si>
  <si>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</si>
  <si>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</si>
  <si>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</si>
  <si>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</si>
  <si>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</si>
  <si>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</si>
  <si>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</si>
  <si>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</si>
  <si>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</si>
  <si>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</si>
  <si>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</si>
  <si>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</si>
  <si>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</si>
  <si>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</si>
  <si>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</si>
  <si>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</si>
  <si>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</si>
  <si>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</si>
  <si>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</si>
  <si>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</si>
  <si>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</si>
  <si>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</si>
  <si>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</si>
  <si>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</si>
  <si>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</si>
  <si>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</si>
  <si>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</si>
  <si>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</si>
  <si>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</si>
  <si>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</si>
  <si>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</si>
  <si>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</si>
  <si>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</si>
  <si>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</si>
  <si>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</si>
  <si>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</si>
  <si>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</si>
  <si>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</si>
  <si>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</si>
  <si>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</si>
  <si>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</si>
  <si>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</si>
  <si>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</si>
  <si>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</si>
  <si>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</si>
  <si>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</si>
  <si>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</si>
  <si>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</si>
  <si>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</si>
  <si>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</si>
  <si>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</si>
  <si>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</si>
  <si>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</si>
  <si>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</si>
  <si>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</si>
  <si>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</si>
  <si>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</si>
  <si>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</si>
  <si>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</si>
  <si>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</si>
  <si>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</si>
  <si>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</si>
  <si>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</si>
  <si>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</si>
  <si>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</si>
  <si>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</si>
  <si>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</si>
  <si>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</si>
  <si>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</si>
  <si>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</si>
  <si>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</si>
  <si>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</si>
  <si>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</si>
  <si>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</si>
  <si>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</si>
  <si>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</si>
  <si>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</si>
  <si>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</si>
  <si>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</si>
  <si>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</si>
  <si>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</si>
  <si>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</si>
  <si>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</si>
  <si>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</si>
  <si>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</si>
  <si>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</si>
  <si>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</si>
  <si>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</si>
  <si>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</si>
  <si>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</si>
  <si>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</si>
  <si>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</si>
  <si>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</si>
  <si>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</si>
  <si>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</si>
  <si>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</si>
  <si>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</si>
  <si>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</si>
  <si>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</si>
  <si>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</si>
  <si>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</si>
  <si>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</si>
  <si>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</si>
  <si>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</si>
  <si>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</si>
  <si>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</si>
  <si>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</si>
  <si>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</si>
  <si>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</si>
  <si>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</si>
  <si>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</si>
  <si>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</si>
  <si>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</si>
  <si>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</si>
  <si>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</si>
  <si>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</si>
  <si>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</si>
  <si>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</si>
  <si>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</si>
  <si>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</si>
  <si>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</si>
  <si>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</si>
  <si>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</si>
  <si>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</si>
  <si>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</si>
  <si>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</si>
  <si>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</si>
  <si>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</si>
  <si>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</si>
  <si>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</si>
  <si>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</si>
  <si>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</si>
  <si>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</si>
  <si>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</si>
  <si>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</si>
  <si>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</si>
  <si>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</si>
  <si>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</si>
  <si>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</si>
  <si>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</si>
  <si>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</si>
  <si>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</si>
  <si>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</si>
  <si>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</si>
  <si>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</si>
  <si>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</si>
  <si>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</si>
  <si>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</si>
  <si>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</si>
  <si>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</si>
  <si>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</si>
  <si>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</si>
  <si>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</si>
  <si>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</si>
  <si>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</si>
  <si>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</si>
  <si>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</si>
  <si>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</si>
  <si>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</si>
  <si>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</si>
  <si>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</si>
  <si>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</si>
  <si>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</si>
  <si>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</si>
  <si>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</si>
  <si>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</si>
  <si>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</si>
  <si>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</si>
  <si>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</si>
  <si>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</si>
  <si>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</si>
  <si>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</si>
  <si>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</si>
  <si>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</si>
  <si>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</si>
  <si>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</si>
  <si>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</si>
  <si>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</si>
  <si>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</si>
  <si>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</si>
  <si>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</si>
  <si>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</si>
  <si>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</si>
  <si>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</si>
  <si>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</si>
  <si>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</si>
  <si>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</si>
  <si>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</si>
  <si>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</si>
  <si>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</si>
  <si>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</si>
  <si>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</si>
  <si>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</si>
  <si>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</si>
  <si>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</si>
  <si>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</si>
  <si>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</si>
  <si>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</si>
  <si>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</si>
  <si>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</si>
  <si>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</si>
  <si>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</si>
  <si>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</si>
  <si>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</si>
  <si>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</si>
  <si>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</si>
  <si>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</si>
  <si>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</si>
  <si>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</si>
  <si>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</si>
  <si>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</si>
  <si>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</si>
  <si>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</si>
  <si>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</si>
  <si>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</si>
  <si>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</si>
  <si>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</si>
  <si>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</si>
  <si>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</si>
  <si>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</si>
  <si>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</si>
  <si>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</si>
  <si>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</si>
  <si>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</si>
  <si>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</si>
  <si>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</si>
  <si>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</si>
  <si>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</si>
  <si>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</si>
  <si>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</si>
  <si>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</si>
  <si>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</si>
  <si>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</si>
  <si>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</si>
  <si>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</si>
  <si>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</si>
  <si>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</si>
  <si>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</si>
  <si>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</si>
  <si>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</si>
  <si>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</si>
  <si>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</si>
  <si>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</si>
  <si>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</si>
  <si>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</si>
  <si>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</si>
  <si>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</si>
  <si>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</si>
  <si>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</si>
  <si>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</si>
  <si>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</si>
  <si>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</si>
  <si>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</si>
  <si>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</si>
  <si>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</si>
  <si>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</si>
  <si>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</si>
  <si>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</si>
  <si>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</si>
  <si>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</si>
  <si>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</si>
  <si>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</si>
  <si>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</si>
  <si>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</si>
  <si>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</si>
  <si>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</si>
  <si>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</si>
  <si>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</si>
  <si>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</si>
  <si>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</si>
  <si>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</si>
  <si>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</si>
  <si>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</si>
  <si>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</si>
  <si>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</si>
  <si>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</si>
  <si>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</si>
  <si>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</si>
  <si>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</si>
  <si>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</si>
  <si>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</si>
  <si>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</si>
  <si>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</si>
  <si>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</si>
  <si>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</si>
  <si>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</si>
  <si>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</si>
  <si>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</si>
  <si>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</si>
  <si>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</si>
  <si>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</si>
  <si>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</si>
  <si>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</si>
  <si>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</si>
  <si>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</si>
  <si>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</si>
  <si>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</si>
  <si>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</si>
  <si>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</si>
  <si>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</si>
  <si>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</si>
  <si>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</si>
  <si>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</si>
  <si>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</si>
  <si>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</si>
  <si>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</si>
  <si>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</si>
  <si>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</si>
  <si>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</si>
  <si>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</si>
  <si>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</si>
  <si>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</si>
  <si>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</si>
  <si>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</si>
  <si>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</si>
  <si>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</si>
  <si>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</si>
  <si>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</si>
  <si>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</si>
  <si>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</si>
  <si>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</si>
  <si>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</si>
  <si>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</si>
  <si>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</si>
  <si>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</si>
  <si>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</si>
  <si>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</si>
  <si>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</si>
  <si>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</si>
  <si>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</si>
  <si>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</si>
  <si>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</si>
  <si>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</si>
  <si>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</si>
  <si>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</si>
  <si>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</si>
  <si>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</si>
  <si>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</si>
  <si>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</si>
  <si>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</si>
  <si>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</si>
  <si>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</si>
  <si>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</si>
  <si>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</si>
  <si>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</si>
  <si>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</si>
  <si>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</si>
  <si>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</si>
  <si>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</si>
  <si>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</si>
  <si>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</si>
  <si>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</si>
  <si>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</si>
  <si>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</si>
  <si>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</si>
  <si>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</si>
  <si>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</si>
  <si>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</si>
  <si>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</si>
  <si>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</si>
  <si>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</si>
  <si>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</si>
  <si>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</si>
  <si>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</si>
  <si>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</si>
  <si>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</si>
  <si>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</si>
  <si>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</si>
  <si>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</si>
  <si>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</si>
  <si>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</si>
  <si>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</si>
  <si>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</si>
  <si>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</si>
  <si>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</si>
  <si>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</si>
  <si>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</si>
  <si>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</si>
  <si>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</si>
  <si>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</si>
  <si>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</si>
  <si>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</si>
  <si>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</si>
  <si>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</si>
  <si>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</si>
  <si>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</si>
  <si>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</si>
  <si>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</si>
  <si>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</si>
  <si>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</si>
  <si>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</si>
  <si>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</si>
  <si>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</si>
  <si>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</si>
  <si>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</si>
  <si>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</si>
  <si>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</si>
  <si>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</si>
  <si>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</si>
  <si>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</si>
  <si>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</si>
  <si>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</si>
  <si>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</si>
  <si>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</si>
  <si>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</si>
  <si>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</si>
  <si>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</si>
  <si>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</si>
  <si>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</si>
  <si>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</si>
  <si>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</si>
  <si>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</si>
  <si>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</si>
  <si>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</si>
  <si>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</si>
  <si>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</si>
  <si>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</si>
  <si>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</si>
  <si>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</si>
  <si>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</si>
  <si>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</si>
  <si>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</si>
  <si>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</si>
  <si>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</si>
  <si>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</si>
  <si>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</si>
  <si>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</si>
  <si>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</si>
  <si>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</si>
  <si>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</si>
  <si>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</si>
  <si>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</si>
  <si>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</si>
  <si>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</si>
  <si>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</si>
  <si>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</si>
  <si>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</si>
  <si>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</si>
  <si>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</si>
  <si>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</si>
  <si>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</si>
  <si>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</si>
  <si>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</si>
  <si>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</si>
  <si>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</si>
  <si>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</si>
  <si>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</si>
  <si>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</si>
  <si>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</si>
  <si>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</si>
  <si>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</si>
  <si>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</si>
  <si>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</si>
  <si>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</si>
  <si>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</si>
  <si>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</si>
  <si>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</si>
  <si>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</si>
  <si>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</si>
  <si>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</si>
  <si>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</si>
  <si>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</si>
  <si>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</si>
  <si>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</si>
  <si>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</si>
  <si>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</si>
  <si>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</si>
  <si>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</si>
  <si>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</si>
  <si>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</si>
  <si>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</si>
  <si>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</si>
  <si>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</si>
  <si>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</si>
  <si>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</si>
  <si>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</si>
  <si>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</si>
  <si>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</si>
  <si>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</si>
  <si>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</si>
  <si>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</si>
  <si>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</si>
  <si>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</si>
  <si>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</si>
  <si>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</si>
  <si>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</si>
  <si>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</si>
  <si>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</si>
  <si>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</si>
  <si>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</si>
  <si>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</si>
  <si>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</si>
  <si>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</si>
  <si>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</si>
  <si>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</si>
  <si>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</si>
  <si>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</si>
  <si>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</si>
  <si>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</si>
  <si>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</si>
  <si>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</si>
  <si>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</si>
  <si>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</si>
  <si>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</si>
  <si>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</si>
  <si>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</si>
  <si>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</si>
  <si>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</si>
  <si>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</si>
  <si>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</si>
  <si>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</si>
  <si>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</si>
  <si>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</si>
  <si>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</si>
  <si>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</si>
  <si>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</si>
  <si>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</si>
  <si>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</si>
  <si>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</si>
  <si>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</si>
  <si>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</si>
  <si>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</si>
  <si>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</si>
  <si>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</si>
  <si>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</si>
  <si>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</si>
  <si>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</si>
  <si>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</si>
  <si>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</si>
  <si>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</si>
  <si>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</si>
  <si>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</si>
  <si>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</si>
  <si>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</si>
  <si>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</si>
  <si>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</si>
  <si>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</si>
  <si>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</si>
  <si>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</si>
  <si>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</si>
  <si>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</si>
  <si>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</si>
  <si>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</si>
  <si>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</si>
  <si>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</si>
  <si>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</si>
  <si>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</si>
  <si>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</si>
  <si>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</si>
  <si>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</si>
  <si>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</si>
  <si>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</si>
  <si>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</si>
  <si>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</si>
  <si>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</si>
  <si>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</si>
  <si>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</si>
  <si>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</si>
  <si>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</si>
  <si>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</si>
  <si>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</si>
  <si>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</si>
  <si>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</si>
  <si>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</si>
  <si>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</si>
  <si>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</si>
  <si>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</si>
  <si>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</si>
  <si>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</si>
  <si>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</si>
  <si>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</si>
  <si>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</si>
  <si>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</si>
  <si>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</si>
  <si>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</si>
  <si>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</si>
  <si>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</si>
  <si>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</si>
  <si>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</si>
  <si>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</si>
  <si>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</si>
  <si>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</si>
  <si>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</si>
  <si>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</si>
  <si>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</si>
  <si>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</si>
  <si>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</si>
  <si>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</si>
  <si>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</si>
  <si>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</si>
  <si>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</si>
  <si>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</si>
  <si>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</si>
  <si>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</si>
  <si>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</si>
  <si>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</si>
  <si>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</si>
  <si>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</si>
  <si>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</si>
  <si>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</si>
  <si>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</si>
  <si>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</si>
  <si>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</si>
  <si>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</si>
  <si>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</si>
  <si>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</si>
  <si>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</si>
  <si>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</si>
  <si>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</si>
  <si>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</si>
  <si>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</si>
  <si>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</si>
  <si>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</si>
  <si>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</si>
  <si>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</si>
  <si>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</si>
  <si>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</si>
  <si>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</si>
  <si>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</si>
  <si>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</si>
  <si>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</si>
  <si>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</si>
  <si>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</si>
  <si>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</si>
  <si>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</si>
  <si>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</si>
  <si>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</si>
  <si>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</si>
  <si>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</si>
  <si>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</si>
  <si>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</si>
  <si>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</si>
  <si>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</si>
  <si>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</si>
  <si>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</si>
  <si>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</si>
  <si>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</si>
  <si>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</si>
  <si>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</si>
  <si>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</si>
  <si>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</si>
  <si>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</si>
  <si>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</si>
  <si>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</si>
  <si>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</si>
  <si>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</si>
  <si>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</si>
  <si>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</si>
  <si>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</si>
  <si>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</si>
  <si>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</si>
  <si>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</si>
  <si>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</si>
  <si>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</si>
  <si>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</si>
  <si>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</si>
  <si>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</si>
  <si>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</si>
  <si>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</si>
  <si>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</si>
  <si>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</si>
  <si>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</si>
  <si>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</si>
  <si>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</si>
  <si>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</si>
  <si>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</si>
  <si>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</si>
  <si>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</si>
  <si>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</si>
  <si>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</si>
  <si>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</si>
  <si>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</si>
  <si>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</si>
  <si>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</si>
  <si>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</si>
  <si>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</si>
  <si>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</si>
  <si>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</si>
  <si>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</si>
  <si>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</si>
  <si>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</si>
  <si>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</si>
  <si>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</si>
  <si>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</si>
  <si>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</si>
  <si>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</si>
  <si>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</si>
  <si>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</si>
  <si>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</si>
  <si>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</si>
  <si>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</si>
  <si>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</si>
  <si>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</si>
  <si>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</si>
  <si>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</si>
  <si>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</si>
  <si>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</si>
  <si>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</si>
  <si>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</si>
  <si>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</si>
  <si>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</si>
  <si>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</si>
  <si>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</si>
  <si>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</si>
  <si>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</si>
  <si>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</si>
  <si>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</si>
  <si>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</si>
  <si>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</si>
  <si>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</si>
  <si>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</si>
  <si>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</si>
  <si>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</si>
  <si>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</si>
  <si>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</si>
  <si>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</si>
  <si>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</si>
  <si>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</si>
  <si>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</si>
  <si>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</si>
  <si>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</si>
  <si>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</si>
  <si>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</si>
  <si>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</si>
  <si>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</si>
  <si>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</si>
  <si>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</si>
  <si>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</si>
  <si>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</si>
  <si>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</si>
  <si>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</si>
  <si>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</si>
  <si>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</si>
  <si>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</si>
  <si>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</si>
  <si>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</si>
  <si>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</si>
  <si>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</si>
  <si>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</si>
  <si>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</si>
  <si>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</si>
  <si>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</si>
  <si>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</si>
  <si>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</si>
  <si>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</si>
  <si>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</si>
  <si>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</si>
  <si>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</si>
  <si>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</si>
  <si>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</si>
  <si>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</si>
  <si>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</si>
  <si>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</si>
  <si>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</si>
  <si>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</si>
  <si>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</si>
  <si>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</si>
  <si>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</si>
  <si>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</si>
  <si>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</si>
  <si>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</si>
  <si>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</si>
  <si>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</si>
  <si>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</si>
  <si>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</si>
  <si>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</si>
  <si>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</si>
  <si>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</si>
  <si>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</si>
  <si>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</si>
  <si>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</si>
  <si>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</si>
  <si>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</si>
  <si>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</si>
  <si>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</si>
  <si>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</si>
  <si>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</si>
  <si>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</si>
  <si>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</si>
  <si>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</si>
  <si>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</si>
  <si>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</si>
  <si>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</si>
  <si>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</si>
  <si>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</si>
  <si>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</si>
  <si>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</si>
  <si>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</si>
  <si>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</si>
  <si>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</si>
  <si>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</si>
  <si>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</si>
  <si>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</si>
  <si>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</si>
  <si>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</si>
  <si>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</si>
  <si>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</si>
  <si>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</si>
  <si>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</si>
  <si>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</si>
  <si>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</si>
  <si>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</si>
  <si>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</si>
  <si>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</si>
  <si>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</si>
  <si>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</si>
  <si>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</si>
  <si>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</si>
  <si>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</si>
  <si>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</si>
  <si>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</si>
  <si>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</si>
  <si>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</si>
  <si>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</si>
  <si>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</si>
  <si>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</si>
  <si>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</si>
  <si>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</si>
  <si>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</si>
  <si>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</si>
  <si>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</si>
  <si>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</si>
  <si>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</si>
  <si>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</si>
  <si>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</si>
  <si>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</si>
  <si>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</si>
  <si>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</si>
  <si>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</si>
  <si>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</si>
  <si>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</si>
  <si>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</si>
  <si>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</si>
  <si>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</si>
  <si>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</si>
  <si>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</si>
  <si>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</si>
  <si>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</si>
  <si>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</si>
  <si>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</si>
  <si>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</si>
  <si>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</si>
  <si>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</si>
  <si>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</si>
  <si>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</si>
  <si>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</si>
  <si>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</si>
  <si>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</si>
  <si>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</si>
  <si>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</si>
  <si>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</si>
  <si>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</si>
  <si>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</si>
  <si>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</si>
  <si>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</si>
  <si>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</si>
  <si>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</si>
  <si>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</si>
  <si>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</si>
  <si>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</si>
  <si>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</si>
  <si>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</si>
  <si>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</si>
  <si>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</si>
  <si>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</si>
  <si>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</si>
  <si>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</si>
  <si>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</si>
  <si>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</si>
  <si>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</si>
  <si>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</si>
  <si>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</si>
  <si>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</si>
  <si>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</si>
  <si>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</si>
  <si>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</si>
  <si>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</si>
  <si>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</si>
  <si>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</si>
  <si>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</si>
  <si>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</si>
  <si>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</si>
  <si>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</si>
  <si>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</si>
  <si>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</si>
  <si>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</si>
  <si>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</si>
  <si>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</si>
  <si>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</si>
  <si>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</si>
  <si>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</si>
  <si>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</si>
  <si>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</si>
  <si>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</si>
  <si>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</si>
  <si>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</si>
  <si>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</si>
  <si>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</si>
  <si>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</si>
  <si>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</si>
  <si>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</si>
  <si>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</si>
  <si>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</si>
  <si>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</si>
  <si>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</si>
  <si>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</si>
  <si>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</si>
  <si>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</si>
  <si>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</si>
  <si>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</si>
  <si>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</si>
  <si>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</si>
  <si>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</si>
  <si>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</si>
  <si>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</si>
  <si>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</si>
  <si>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</si>
  <si>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</si>
  <si>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</si>
  <si>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</si>
  <si>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</si>
  <si>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</si>
  <si>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</si>
  <si>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</si>
  <si>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</si>
  <si>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</si>
  <si>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</si>
  <si>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</si>
  <si>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</si>
  <si>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</si>
  <si>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</si>
  <si>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</si>
  <si>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</si>
  <si>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</si>
  <si>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</si>
  <si>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</si>
  <si>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</si>
  <si>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</si>
  <si>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</si>
  <si>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</si>
  <si>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</si>
  <si>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</si>
  <si>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</si>
  <si>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</si>
  <si>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</si>
  <si>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</si>
  <si>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</si>
  <si>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</si>
  <si>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</si>
  <si>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</si>
  <si>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</si>
  <si>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</si>
  <si>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</si>
  <si>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</si>
  <si>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</si>
  <si>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</si>
  <si>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</si>
  <si>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</si>
  <si>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</si>
  <si>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</si>
  <si>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</si>
  <si>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</si>
  <si>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</si>
  <si>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</si>
  <si>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</si>
  <si>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</si>
  <si>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</si>
  <si>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</si>
  <si>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</si>
  <si>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</si>
  <si>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</si>
  <si>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</si>
  <si>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</si>
  <si>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</si>
  <si>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</si>
  <si>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</si>
  <si>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</si>
  <si>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</si>
  <si>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</si>
  <si>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</si>
  <si>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</si>
  <si>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</si>
  <si>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</si>
  <si>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</si>
  <si>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</si>
  <si>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</si>
  <si>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</si>
  <si>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</si>
  <si>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</si>
  <si>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</si>
  <si>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</si>
  <si>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</si>
  <si>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</si>
  <si>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</si>
  <si>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</si>
  <si>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</si>
  <si>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</si>
  <si>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</si>
  <si>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</si>
  <si>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</si>
  <si>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</si>
  <si>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</si>
  <si>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</si>
  <si>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</si>
  <si>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</si>
  <si>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</si>
  <si>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</si>
  <si>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</si>
  <si>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</si>
  <si>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</si>
  <si>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</si>
  <si>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</si>
  <si>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</si>
  <si>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</si>
  <si>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</si>
  <si>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</si>
  <si>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</si>
  <si>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</si>
  <si>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</si>
  <si>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</si>
  <si>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</si>
  <si>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</si>
  <si>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</si>
  <si>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</si>
  <si>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</si>
  <si>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</si>
  <si>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</si>
  <si>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</si>
  <si>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</si>
  <si>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</si>
  <si>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</si>
  <si>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</si>
  <si>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</si>
  <si>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</si>
  <si>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</si>
  <si>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</si>
  <si>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</si>
  <si>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</si>
  <si>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</si>
  <si>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</si>
  <si>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</si>
  <si>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</si>
  <si>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</si>
  <si>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</si>
  <si>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</si>
  <si>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</si>
  <si>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</si>
  <si>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</si>
  <si>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</si>
  <si>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</si>
  <si>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</si>
  <si>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</si>
  <si>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</si>
  <si>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</si>
  <si>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</si>
  <si>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</si>
  <si>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</si>
  <si>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</si>
  <si>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</si>
  <si>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</si>
  <si>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</si>
  <si>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</si>
  <si>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</si>
  <si>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</si>
  <si>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</si>
  <si>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</si>
  <si>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</si>
  <si>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</si>
  <si>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</si>
  <si>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</si>
  <si>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</si>
  <si>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</si>
  <si>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</si>
  <si>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</si>
  <si>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</si>
  <si>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</si>
  <si>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</si>
  <si>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</si>
  <si>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</si>
  <si>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</si>
  <si>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</si>
  <si>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</si>
  <si>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</si>
  <si>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</si>
  <si>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</si>
  <si>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</si>
  <si>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</si>
  <si>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</si>
  <si>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</si>
  <si>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</si>
  <si>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</si>
  <si>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</si>
  <si>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</si>
  <si>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</si>
  <si>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</si>
  <si>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</si>
  <si>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</si>
  <si>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</si>
  <si>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</si>
  <si>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</si>
  <si>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</si>
  <si>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</si>
  <si>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</si>
  <si>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</si>
  <si>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</si>
  <si>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</si>
  <si>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</si>
  <si>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</si>
  <si>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</si>
  <si>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</si>
  <si>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</si>
  <si>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</si>
  <si>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</si>
  <si>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</si>
  <si>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</si>
  <si>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</si>
  <si>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</si>
  <si>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</si>
  <si>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</si>
  <si>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</si>
  <si>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</si>
  <si>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</si>
  <si>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</si>
  <si>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</si>
  <si>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</si>
  <si>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</si>
  <si>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</si>
  <si>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</si>
  <si>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</si>
  <si>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</si>
  <si>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</si>
  <si>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</si>
  <si>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</si>
  <si>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</si>
  <si>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</si>
  <si>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</si>
  <si>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</si>
  <si>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</si>
  <si>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</si>
  <si>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</si>
  <si>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</si>
  <si>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</si>
  <si>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</si>
  <si>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</si>
  <si>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</si>
  <si>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</si>
  <si>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</si>
  <si>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</si>
  <si>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</si>
  <si>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</si>
  <si>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</si>
  <si>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</si>
  <si>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</si>
  <si>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</si>
  <si>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</si>
  <si>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</si>
  <si>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</si>
  <si>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</si>
  <si>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</si>
  <si>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</si>
  <si>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</si>
  <si>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</si>
  <si>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</si>
  <si>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</si>
  <si>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</si>
  <si>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</si>
  <si>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</si>
  <si>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</si>
  <si>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</si>
  <si>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</si>
  <si>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</si>
  <si>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</si>
  <si>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</si>
  <si>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</si>
  <si>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</si>
  <si>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</si>
  <si>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</si>
  <si>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</si>
  <si>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</si>
  <si>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</si>
  <si>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</si>
  <si>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</si>
  <si>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</si>
  <si>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</si>
  <si>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</si>
  <si>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</si>
  <si>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</si>
  <si>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</si>
  <si>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</si>
  <si>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</si>
  <si>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</si>
  <si>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</si>
  <si>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</si>
  <si>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</si>
  <si>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</si>
  <si>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</si>
  <si>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</si>
  <si>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</si>
  <si>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</si>
  <si>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</si>
  <si>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</si>
  <si>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</si>
  <si>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</si>
  <si>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</si>
  <si>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</si>
  <si>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</si>
  <si>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</si>
  <si>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</si>
  <si>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</si>
  <si>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</si>
  <si>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</si>
  <si>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</si>
  <si>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</si>
  <si>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</si>
  <si>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</si>
  <si>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</si>
  <si>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</si>
  <si>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</si>
  <si>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</si>
  <si>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</si>
  <si>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</si>
  <si>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</si>
  <si>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</si>
  <si>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</si>
  <si>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</si>
  <si>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</si>
  <si>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</si>
  <si>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</si>
  <si>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</si>
  <si>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</si>
  <si>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</si>
  <si>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</si>
  <si>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</si>
  <si>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</si>
  <si>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</si>
  <si>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</si>
  <si>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</si>
  <si>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</si>
  <si>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</si>
  <si>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</si>
  <si>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</si>
  <si>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</si>
  <si>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</si>
  <si>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</si>
  <si>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</si>
  <si>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</si>
  <si>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</si>
  <si>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</si>
  <si>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</si>
  <si>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</si>
  <si>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</si>
  <si>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</si>
  <si>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</si>
  <si>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</si>
  <si>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</si>
  <si>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</si>
  <si>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</si>
  <si>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</si>
  <si>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</si>
  <si>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</si>
  <si>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</si>
  <si>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</si>
  <si>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</si>
  <si>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</si>
  <si>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</si>
  <si>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</si>
  <si>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</si>
  <si>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</si>
  <si>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</si>
  <si>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</si>
  <si>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</si>
  <si>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</si>
  <si>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</si>
  <si>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</si>
  <si>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</si>
  <si>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</si>
  <si>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</si>
  <si>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</si>
  <si>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</si>
  <si>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</si>
  <si>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</si>
  <si>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</si>
  <si>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</si>
  <si>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</si>
  <si>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</si>
  <si>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</si>
  <si>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</si>
  <si>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</si>
  <si>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</si>
  <si>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</si>
  <si>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</si>
  <si>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</si>
  <si>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</si>
  <si>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</si>
  <si>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</si>
  <si>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</si>
  <si>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</si>
  <si>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</si>
  <si>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</si>
  <si>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</si>
  <si>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</si>
  <si>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</si>
  <si>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</si>
  <si>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</si>
  <si>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</si>
  <si>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</si>
  <si>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</si>
  <si>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</si>
  <si>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</si>
  <si>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</si>
  <si>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</si>
  <si>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</si>
  <si>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</si>
  <si>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</si>
  <si>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</si>
  <si>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</si>
  <si>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</si>
  <si>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</si>
  <si>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</si>
  <si>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</si>
  <si>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</si>
  <si>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</si>
  <si>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</si>
  <si>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</si>
  <si>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</si>
  <si>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</si>
  <si>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</si>
  <si>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</si>
  <si>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</si>
  <si>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</si>
  <si>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</si>
  <si>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</si>
  <si>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</si>
  <si>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</si>
  <si>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</si>
  <si>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</si>
  <si>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</si>
  <si>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</si>
  <si>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</si>
  <si>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</si>
  <si>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</si>
  <si>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</si>
  <si>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</si>
  <si>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</si>
  <si>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</si>
  <si>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</si>
  <si>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</si>
  <si>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</si>
  <si>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</si>
  <si>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</si>
  <si>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</si>
  <si>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</si>
  <si>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</si>
  <si>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</si>
  <si>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</si>
  <si>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</si>
  <si>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</si>
  <si>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</si>
  <si>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</si>
  <si>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</si>
  <si>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</si>
  <si>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</si>
  <si>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</si>
  <si>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</si>
  <si>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</si>
  <si>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</si>
  <si>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</si>
  <si>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</si>
  <si>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</si>
  <si>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</si>
  <si>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</si>
  <si>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</si>
  <si>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</si>
  <si>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</si>
  <si>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</si>
  <si>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</si>
  <si>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</si>
  <si>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</si>
  <si>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</si>
  <si>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</si>
  <si>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</si>
  <si>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</si>
  <si>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</si>
  <si>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</si>
  <si>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</si>
  <si>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</si>
  <si>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</si>
  <si>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</si>
  <si>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</si>
  <si>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</si>
  <si>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</si>
  <si>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</si>
  <si>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</si>
  <si>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</si>
  <si>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</si>
  <si>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</si>
  <si>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</si>
  <si>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</si>
  <si>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</si>
  <si>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</si>
  <si>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</si>
  <si>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</si>
  <si>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</si>
  <si>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</si>
  <si>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</si>
  <si>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</si>
  <si>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</si>
  <si>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</si>
  <si>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</si>
  <si>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</si>
  <si>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</si>
  <si>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</si>
  <si>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</si>
  <si>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</si>
  <si>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</si>
  <si>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</si>
  <si>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</si>
  <si>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</si>
  <si>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</si>
  <si>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</si>
  <si>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</si>
  <si>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</si>
  <si>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</si>
  <si>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</si>
  <si>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</si>
  <si>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</si>
  <si>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</si>
  <si>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</si>
  <si>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</si>
  <si>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</si>
  <si>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</si>
  <si>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</si>
  <si>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</si>
  <si>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</si>
  <si>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</si>
  <si>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</si>
  <si>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</si>
  <si>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</si>
  <si>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</si>
  <si>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</si>
  <si>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</si>
  <si>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</si>
  <si>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</si>
  <si>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</si>
  <si>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</si>
  <si>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</si>
  <si>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</si>
  <si>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</si>
  <si>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</si>
  <si>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</si>
  <si>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</si>
  <si>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</si>
  <si>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</si>
  <si>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</si>
  <si>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</si>
  <si>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</si>
  <si>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</si>
  <si>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</si>
  <si>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</si>
  <si>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</si>
  <si>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</si>
  <si>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</si>
  <si>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</si>
  <si>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</si>
  <si>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</si>
  <si>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</si>
  <si>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</si>
  <si>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</si>
  <si>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</si>
  <si>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</si>
  <si>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</si>
  <si>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</si>
  <si>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</si>
  <si>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</si>
  <si>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</si>
  <si>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</si>
  <si>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</si>
  <si>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</si>
  <si>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</si>
  <si>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</si>
  <si>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</si>
  <si>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</si>
  <si>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</si>
  <si>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</si>
  <si>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</si>
  <si>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</si>
  <si>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</si>
  <si>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</si>
  <si>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</si>
  <si>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</si>
  <si>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</si>
  <si>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</si>
  <si>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</si>
  <si>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</si>
  <si>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</si>
  <si>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</si>
  <si>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</si>
  <si>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</si>
  <si>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</si>
  <si>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</si>
  <si>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</si>
  <si>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</si>
  <si>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</si>
  <si>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</si>
  <si>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</si>
  <si>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</si>
  <si>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</si>
  <si>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</si>
  <si>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</si>
  <si>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</si>
  <si>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</si>
  <si>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</si>
  <si>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</si>
  <si>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</si>
  <si>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</si>
  <si>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</si>
  <si>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</si>
  <si>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</si>
  <si>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</si>
  <si>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</si>
  <si>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</si>
  <si>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</si>
  <si>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</si>
  <si>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</si>
  <si>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</si>
  <si>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</si>
  <si>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</si>
  <si>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</si>
  <si>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</si>
  <si>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</si>
  <si>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</si>
  <si>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</si>
  <si>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</si>
  <si>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</si>
  <si>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</si>
  <si>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</si>
  <si>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</si>
  <si>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</si>
  <si>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</si>
  <si>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</si>
  <si>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</si>
  <si>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</si>
  <si>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</si>
  <si>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</si>
  <si>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</si>
  <si>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</si>
  <si>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</si>
  <si>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</si>
  <si>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</si>
  <si>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</si>
  <si>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</si>
  <si>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</si>
  <si>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</si>
  <si>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</si>
  <si>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</si>
  <si>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</si>
  <si>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</si>
  <si>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</si>
  <si>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</si>
  <si>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</si>
  <si>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</si>
  <si>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</si>
  <si>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</si>
  <si>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</si>
  <si>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</si>
  <si>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</si>
  <si>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</si>
  <si>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</si>
  <si>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</si>
  <si>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</si>
  <si>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</si>
  <si>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</si>
  <si>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</si>
  <si>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</si>
  <si>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</si>
  <si>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</si>
  <si>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</si>
  <si>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</si>
  <si>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</si>
  <si>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</si>
  <si>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</si>
  <si>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</si>
  <si>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</si>
  <si>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</si>
  <si>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</si>
  <si>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</si>
  <si>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</si>
  <si>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</si>
  <si>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</si>
  <si>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</si>
  <si>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</si>
  <si>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</si>
  <si>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</si>
  <si>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</si>
  <si>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</si>
  <si>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</si>
  <si>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</si>
  <si>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</si>
  <si>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</si>
  <si>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</si>
  <si>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</si>
  <si>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</si>
  <si>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</si>
  <si>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</si>
  <si>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</si>
  <si>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</si>
  <si>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</si>
  <si>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</si>
  <si>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</si>
  <si>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</si>
  <si>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</si>
  <si>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</si>
  <si>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</si>
  <si>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</si>
  <si>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</si>
  <si>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</si>
  <si>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</si>
  <si>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</si>
  <si>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</si>
  <si>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</si>
  <si>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</si>
  <si>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</si>
  <si>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</si>
  <si>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</si>
  <si>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</si>
  <si>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</si>
  <si>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</si>
  <si>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</si>
  <si>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</si>
  <si>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</si>
  <si>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</si>
  <si>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</si>
  <si>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</si>
  <si>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</si>
  <si>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</si>
  <si>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</si>
  <si>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</si>
  <si>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</si>
  <si>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</si>
  <si>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</si>
  <si>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</si>
  <si>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</si>
  <si>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</si>
  <si>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</si>
  <si>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</si>
  <si>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</si>
  <si>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</si>
  <si>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</si>
  <si>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</si>
  <si>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</si>
  <si>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</si>
  <si>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</si>
  <si>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</si>
  <si>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</si>
  <si>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</si>
  <si>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</si>
  <si>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</si>
  <si>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</si>
  <si>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</si>
  <si>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</si>
  <si>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</si>
  <si>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</si>
  <si>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</si>
  <si>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</si>
  <si>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</si>
  <si>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</si>
  <si>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</si>
  <si>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</si>
  <si>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</si>
  <si>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</si>
  <si>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</si>
  <si>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</si>
  <si>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</si>
  <si>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</si>
  <si>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</si>
  <si>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</si>
  <si>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</si>
  <si>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</si>
  <si>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</si>
  <si>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</si>
  <si>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</si>
  <si>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</si>
  <si>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</si>
  <si>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</si>
  <si>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</si>
  <si>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</si>
  <si>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</si>
  <si>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</si>
  <si>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</si>
  <si>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</si>
  <si>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</si>
  <si>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</si>
  <si>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</si>
  <si>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</si>
  <si>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</si>
  <si>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</si>
  <si>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</si>
  <si>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</si>
  <si>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</si>
  <si>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</si>
  <si>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</si>
  <si>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</si>
  <si>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</si>
  <si>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</si>
  <si>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</si>
  <si>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</si>
  <si>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</si>
  <si>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</si>
  <si>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</si>
  <si>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</si>
  <si>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</si>
  <si>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</si>
  <si>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</si>
  <si>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</si>
  <si>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</si>
  <si>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</si>
  <si>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</si>
  <si>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</si>
  <si>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</si>
  <si>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</si>
  <si>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</si>
  <si>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</si>
  <si>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</si>
  <si>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</si>
  <si>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</si>
  <si>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</si>
  <si>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</si>
  <si>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</si>
  <si>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</si>
  <si>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</si>
  <si>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</si>
  <si>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</si>
  <si>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</si>
  <si>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</si>
  <si>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</si>
  <si>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</si>
  <si>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</si>
  <si>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</si>
  <si>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</si>
  <si>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</si>
  <si>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</si>
  <si>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</si>
  <si>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</si>
  <si>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</si>
  <si>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</si>
  <si>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</si>
  <si>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</si>
  <si>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</si>
  <si>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</si>
  <si>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</si>
  <si>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</si>
  <si>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</si>
  <si>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</si>
  <si>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</si>
  <si>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</si>
  <si>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</si>
  <si>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</si>
  <si>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</si>
  <si>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</si>
  <si>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</si>
  <si>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</si>
  <si>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</si>
  <si>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</si>
  <si>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</si>
  <si>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</si>
  <si>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</si>
  <si>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</si>
  <si>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</si>
  <si>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</si>
  <si>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</si>
  <si>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</si>
  <si>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</si>
  <si>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</si>
  <si>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</si>
  <si>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</si>
  <si>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</si>
  <si>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</si>
  <si>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</si>
  <si>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</si>
  <si>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</si>
  <si>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</si>
  <si>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</si>
  <si>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</si>
  <si>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</si>
  <si>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</si>
  <si>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</si>
  <si>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</si>
  <si>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</si>
  <si>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</si>
  <si>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</si>
  <si>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</si>
  <si>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</si>
  <si>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</si>
  <si>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</si>
  <si>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</si>
  <si>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</si>
  <si>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</si>
  <si>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</si>
  <si>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</si>
  <si>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</si>
  <si>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</si>
  <si>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</si>
  <si>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</si>
  <si>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</si>
  <si>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</si>
  <si>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</si>
  <si>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</si>
  <si>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</si>
  <si>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</si>
  <si>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</si>
  <si>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</si>
  <si>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</si>
  <si>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</si>
  <si>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</si>
  <si>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</si>
  <si>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</si>
  <si>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</si>
  <si>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</si>
  <si>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</si>
  <si>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</si>
  <si>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</si>
  <si>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</si>
  <si>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</si>
  <si>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</si>
  <si>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</si>
  <si>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</si>
  <si>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</si>
  <si>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</si>
  <si>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</si>
  <si>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</si>
  <si>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</si>
  <si>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</si>
  <si>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</si>
  <si>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</si>
  <si>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</si>
  <si>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</si>
  <si>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</si>
  <si>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</si>
  <si>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</si>
  <si>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</si>
  <si>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</si>
  <si>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</si>
  <si>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</si>
  <si>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</si>
  <si>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</si>
  <si>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</si>
  <si>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</si>
  <si>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</si>
  <si>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</si>
  <si>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</si>
  <si>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</si>
  <si>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</si>
  <si>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</si>
  <si>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</si>
  <si>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</si>
  <si>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</si>
  <si>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</si>
  <si>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</si>
  <si>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</si>
  <si>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</si>
  <si>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</si>
  <si>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</si>
  <si>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</si>
  <si>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</si>
  <si>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</si>
  <si>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</si>
  <si>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</si>
  <si>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</si>
  <si>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</si>
  <si>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</si>
  <si>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</si>
  <si>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</si>
  <si>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</si>
  <si>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</si>
  <si>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</si>
  <si>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</si>
  <si>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</si>
  <si>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</si>
  <si>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</si>
  <si>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</si>
  <si>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</si>
  <si>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</si>
  <si>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</si>
  <si>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</si>
  <si>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</si>
  <si>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</si>
  <si>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</si>
  <si>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</si>
  <si>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</si>
  <si>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</si>
  <si>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</si>
  <si>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</si>
  <si>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</si>
  <si>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</si>
  <si>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</si>
  <si>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</si>
  <si>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</si>
  <si>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</si>
  <si>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</si>
  <si>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</si>
  <si>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</si>
  <si>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</si>
  <si>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</si>
  <si>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</si>
  <si>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</si>
  <si>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</si>
  <si>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</si>
  <si>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</si>
  <si>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</si>
  <si>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</si>
  <si>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</si>
  <si>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</si>
  <si>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</si>
  <si>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</si>
  <si>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</si>
  <si>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</si>
  <si>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</si>
  <si>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</si>
  <si>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</si>
  <si>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</si>
  <si>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</si>
  <si>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</si>
  <si>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</si>
  <si>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</si>
  <si>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</si>
  <si>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</si>
  <si>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</si>
  <si>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</si>
  <si>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</si>
  <si>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</si>
  <si>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</si>
  <si>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</si>
  <si>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</si>
  <si>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</si>
  <si>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</si>
  <si>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</si>
  <si>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</si>
  <si>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</si>
  <si>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</si>
  <si>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</si>
  <si>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</si>
  <si>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</si>
  <si>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</si>
  <si>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</si>
  <si>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</si>
  <si>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</si>
  <si>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</si>
  <si>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</si>
  <si>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</si>
  <si>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</si>
  <si>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</si>
  <si>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</si>
  <si>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</si>
  <si>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</si>
  <si>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</si>
  <si>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</si>
  <si>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</si>
  <si>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</si>
  <si>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</si>
  <si>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</si>
  <si>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</si>
  <si>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</si>
  <si>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</si>
  <si>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</si>
  <si>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</si>
  <si>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</si>
  <si>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</si>
  <si>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</si>
  <si>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</si>
  <si>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</si>
  <si>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</si>
  <si>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</si>
  <si>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</si>
  <si>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</si>
  <si>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</si>
  <si>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</si>
  <si>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</si>
  <si>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</si>
  <si>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</si>
  <si>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</si>
  <si>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</si>
  <si>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</si>
  <si>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</si>
  <si>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</si>
  <si>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</si>
  <si>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</si>
  <si>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</si>
  <si>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</si>
  <si>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</si>
  <si>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</si>
  <si>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</si>
  <si>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</si>
  <si>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</si>
  <si>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</si>
  <si>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</si>
  <si>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</si>
  <si>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</si>
  <si>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</si>
  <si>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</si>
  <si>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</si>
  <si>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</si>
  <si>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</si>
  <si>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</si>
  <si>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</si>
  <si>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</si>
  <si>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</si>
  <si>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</si>
  <si>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</si>
  <si>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</si>
  <si>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</si>
  <si>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</si>
  <si>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</si>
  <si>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</si>
  <si>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</si>
  <si>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</si>
  <si>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</si>
  <si>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</si>
  <si>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</si>
  <si>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</si>
  <si>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</si>
  <si>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</si>
  <si>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</si>
  <si>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</si>
  <si>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</si>
  <si>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</si>
  <si>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</si>
  <si>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</si>
  <si>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</si>
  <si>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</si>
  <si>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</si>
  <si>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</si>
  <si>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</si>
  <si>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</si>
  <si>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</si>
  <si>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</si>
  <si>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</si>
  <si>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</si>
  <si>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</si>
  <si>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</si>
  <si>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</si>
  <si>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</si>
  <si>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</si>
  <si>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</si>
  <si>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</si>
  <si>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</si>
  <si>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</si>
  <si>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</si>
  <si>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</si>
  <si>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</si>
  <si>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</si>
  <si>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</si>
  <si>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</si>
  <si>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</si>
  <si>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</si>
  <si>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</si>
  <si>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</si>
  <si>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</si>
  <si>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</si>
  <si>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</si>
  <si>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</si>
  <si>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</si>
  <si>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</si>
  <si>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</si>
  <si>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</si>
  <si>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</si>
  <si>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</si>
  <si>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</si>
  <si>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</si>
  <si>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</si>
  <si>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</si>
  <si>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</si>
  <si>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</si>
  <si>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</si>
  <si>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</si>
  <si>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</si>
  <si>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</si>
  <si>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</si>
  <si>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</si>
  <si>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</si>
  <si>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</si>
  <si>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</si>
  <si>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</si>
  <si>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</si>
  <si>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</si>
  <si>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</si>
  <si>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</si>
  <si>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</si>
  <si>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</si>
  <si>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</si>
  <si>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</si>
  <si>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</si>
  <si>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</si>
  <si>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</si>
  <si>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</si>
  <si>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</si>
  <si>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</si>
  <si>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</si>
  <si>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</si>
  <si>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</si>
  <si>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</si>
  <si>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</si>
  <si>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</si>
  <si>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</si>
  <si>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</si>
  <si>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</si>
  <si>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</si>
  <si>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</si>
  <si>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</si>
  <si>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</si>
  <si>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</si>
  <si>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</si>
  <si>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</si>
  <si>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</si>
  <si>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</si>
  <si>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</si>
  <si>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</si>
  <si>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</si>
  <si>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</si>
  <si>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</si>
  <si>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</si>
  <si>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</si>
  <si>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</si>
  <si>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</si>
  <si>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</si>
  <si>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</si>
  <si>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</si>
  <si>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</si>
  <si>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</si>
  <si>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</si>
  <si>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</si>
  <si>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</si>
  <si>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</si>
  <si>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</si>
  <si>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</si>
  <si>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</si>
  <si>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</si>
  <si>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</si>
  <si>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</si>
  <si>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</si>
  <si>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</si>
  <si>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</si>
  <si>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</si>
  <si>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</si>
  <si>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</si>
  <si>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</si>
  <si>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</si>
  <si>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</si>
  <si>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</si>
  <si>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</si>
  <si>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</si>
  <si>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</si>
  <si>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</si>
  <si>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</si>
  <si>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</si>
  <si>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</si>
  <si>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</si>
  <si>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</si>
  <si>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</si>
  <si>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</si>
  <si>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</si>
  <si>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</si>
  <si>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</si>
  <si>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</si>
  <si>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</si>
  <si>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</si>
  <si>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</si>
  <si>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</si>
  <si>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</si>
  <si>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</si>
  <si>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</si>
  <si>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</si>
  <si>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</si>
  <si>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</si>
  <si>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</si>
  <si>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</si>
  <si>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</si>
  <si>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</si>
  <si>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</si>
  <si>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</si>
  <si>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</si>
  <si>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</si>
  <si>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</si>
  <si>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</si>
  <si>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</si>
  <si>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</si>
  <si>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</si>
  <si>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</si>
  <si>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</si>
  <si>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</si>
  <si>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</si>
  <si>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</si>
  <si>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</si>
  <si>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</si>
  <si>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</si>
  <si>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</si>
  <si>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</si>
  <si>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</si>
  <si>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</si>
  <si>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</si>
  <si>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</si>
  <si>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</si>
  <si>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</si>
  <si>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</si>
  <si>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</si>
  <si>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</si>
  <si>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</si>
  <si>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</si>
  <si>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</si>
  <si>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</si>
  <si>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</si>
  <si>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</si>
  <si>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</si>
  <si>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</si>
  <si>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</si>
  <si>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</si>
  <si>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</si>
  <si>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</si>
  <si>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</si>
  <si>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</si>
  <si>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</si>
  <si>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</si>
  <si>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</si>
  <si>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</si>
  <si>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</si>
  <si>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</si>
  <si>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</si>
  <si>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</si>
  <si>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</si>
  <si>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</si>
  <si>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</si>
  <si>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</si>
  <si>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</si>
  <si>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</si>
  <si>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</si>
  <si>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</si>
  <si>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</si>
  <si>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</si>
  <si>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</si>
  <si>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</si>
  <si>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</si>
  <si>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</si>
  <si>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</si>
  <si>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</si>
  <si>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</si>
  <si>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</si>
  <si>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</si>
  <si>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</si>
  <si>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</si>
  <si>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</si>
  <si>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</si>
  <si>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</si>
  <si>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</si>
  <si>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</si>
  <si>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</si>
  <si>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</si>
  <si>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</si>
  <si>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</si>
  <si>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</si>
  <si>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</si>
  <si>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</si>
  <si>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</si>
  <si>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</si>
  <si>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</si>
  <si>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</si>
  <si>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</si>
  <si>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</si>
  <si>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</si>
  <si>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</si>
  <si>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</si>
  <si>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</si>
  <si>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</si>
  <si>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</si>
  <si>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</si>
  <si>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</si>
  <si>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</si>
  <si>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</si>
  <si>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</si>
  <si>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</si>
  <si>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</si>
  <si>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</si>
  <si>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</si>
  <si>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</si>
  <si>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</si>
  <si>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</si>
  <si>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</si>
  <si>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</si>
  <si>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</si>
  <si>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</si>
  <si>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</si>
  <si>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</si>
  <si>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</si>
  <si>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</si>
  <si>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</si>
  <si>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</si>
  <si>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</si>
  <si>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</si>
  <si>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</si>
  <si>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</si>
  <si>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</si>
  <si>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</si>
  <si>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</si>
  <si>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</si>
  <si>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</si>
  <si>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</si>
  <si>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</si>
  <si>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</si>
  <si>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</si>
  <si>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</si>
  <si>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</si>
  <si>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</si>
  <si>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</si>
  <si>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</si>
  <si>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</si>
  <si>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</si>
  <si>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</si>
  <si>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</si>
  <si>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</si>
  <si>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</si>
  <si>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</si>
  <si>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</si>
  <si>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</si>
  <si>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</si>
  <si>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</si>
  <si>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</si>
  <si>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</si>
  <si>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</si>
  <si>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</si>
  <si>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</si>
  <si>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</si>
  <si>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</si>
  <si>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</si>
  <si>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</si>
  <si>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</si>
  <si>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</si>
  <si>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</si>
  <si>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</si>
  <si>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</si>
  <si>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</si>
  <si>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</si>
  <si>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</si>
  <si>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</si>
  <si>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</si>
  <si>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</si>
  <si>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</si>
  <si>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</si>
  <si>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</si>
  <si>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</si>
  <si>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</si>
  <si>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</si>
  <si>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</si>
  <si>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</si>
  <si>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</si>
  <si>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</si>
  <si>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</si>
  <si>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</si>
  <si>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</si>
  <si>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</si>
  <si>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</si>
  <si>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</si>
  <si>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</si>
  <si>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</si>
  <si>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</si>
  <si>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</si>
  <si>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</si>
  <si>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</si>
  <si>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</si>
  <si>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</si>
  <si>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</si>
  <si>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</si>
  <si>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</si>
  <si>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</si>
  <si>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</si>
  <si>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</si>
  <si>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</si>
  <si>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</si>
  <si>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</si>
  <si>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</si>
  <si>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</si>
  <si>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</si>
  <si>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</si>
  <si>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</si>
  <si>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</si>
  <si>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</si>
  <si>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</si>
  <si>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</si>
  <si>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</si>
  <si>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</si>
  <si>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</si>
  <si>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</si>
  <si>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</si>
  <si>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</si>
  <si>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</si>
  <si>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</si>
  <si>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</si>
  <si>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</si>
  <si>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</si>
  <si>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</si>
  <si>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</si>
  <si>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</si>
  <si>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</si>
  <si>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</si>
  <si>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</si>
  <si>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</si>
  <si>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</si>
  <si>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</si>
  <si>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</si>
  <si>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</si>
  <si>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</si>
  <si>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</si>
  <si>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</si>
  <si>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</si>
  <si>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</si>
  <si>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</si>
  <si>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</si>
  <si>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</si>
  <si>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</si>
  <si>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</si>
  <si>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</si>
  <si>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</si>
  <si>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</si>
  <si>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</si>
  <si>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</si>
  <si>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</si>
  <si>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</si>
  <si>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</si>
  <si>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</si>
  <si>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</si>
  <si>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</si>
  <si>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</si>
  <si>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</si>
  <si>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</si>
  <si>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</si>
  <si>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</si>
  <si>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</si>
  <si>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</si>
  <si>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</si>
  <si>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</si>
  <si>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</si>
  <si>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</si>
  <si>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</si>
  <si>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</si>
  <si>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</si>
  <si>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</si>
  <si>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</si>
  <si>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</si>
  <si>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</si>
  <si>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</si>
  <si>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</si>
  <si>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</si>
  <si>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</si>
  <si>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</si>
  <si>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</si>
  <si>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</si>
  <si>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</si>
  <si>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</si>
  <si>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</si>
  <si>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</si>
  <si>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</si>
  <si>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</si>
  <si>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</si>
  <si>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</si>
  <si>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</si>
  <si>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</si>
  <si>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</si>
  <si>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</si>
  <si>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</si>
  <si>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</si>
  <si>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</si>
  <si>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</si>
  <si>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</si>
  <si>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</si>
  <si>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</si>
  <si>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</si>
  <si>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</si>
  <si>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</si>
  <si>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</si>
  <si>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</si>
  <si>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</si>
  <si>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</si>
  <si>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</si>
  <si>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</si>
  <si>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</si>
  <si>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</si>
  <si>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</si>
  <si>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</si>
  <si>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</si>
  <si>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</si>
  <si>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</si>
  <si>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</si>
  <si>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</si>
  <si>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</si>
  <si>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</si>
  <si>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</si>
  <si>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</si>
  <si>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</si>
  <si>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</si>
  <si>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</si>
  <si>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</si>
  <si>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</si>
  <si>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</si>
  <si>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</si>
  <si>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</si>
  <si>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</si>
  <si>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</si>
  <si>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</si>
  <si>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</si>
  <si>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</si>
  <si>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</si>
  <si>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</si>
  <si>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</si>
  <si>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</si>
  <si>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</si>
  <si>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</si>
  <si>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</si>
  <si>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</si>
  <si>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</si>
  <si>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</si>
  <si>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</si>
  <si>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</si>
  <si>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</si>
  <si>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</si>
  <si>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</si>
  <si>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</si>
  <si>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</si>
  <si>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</si>
  <si>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</si>
  <si>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</si>
  <si>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</si>
  <si>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</si>
  <si>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</si>
  <si>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</si>
  <si>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</si>
  <si>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</si>
  <si>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</si>
  <si>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</si>
  <si>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</si>
  <si>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</si>
  <si>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</si>
  <si>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</si>
  <si>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</si>
  <si>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</si>
  <si>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</si>
  <si>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</si>
  <si>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</si>
  <si>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</si>
  <si>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</si>
  <si>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</si>
  <si>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</si>
  <si>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</si>
  <si>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</si>
  <si>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</si>
  <si>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</si>
  <si>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</si>
  <si>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</si>
  <si>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</si>
  <si>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</si>
  <si>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</si>
  <si>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</si>
  <si>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</si>
  <si>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</si>
  <si>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</si>
  <si>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</si>
  <si>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</si>
  <si>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</si>
  <si>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</si>
  <si>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</si>
  <si>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</si>
  <si>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</si>
  <si>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</si>
  <si>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</si>
  <si>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</si>
  <si>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</si>
  <si>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</si>
  <si>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</si>
  <si>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</si>
  <si>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</si>
  <si>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</si>
  <si>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</si>
  <si>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</si>
  <si>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</si>
  <si>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</si>
  <si>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</si>
  <si>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</si>
  <si>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</si>
  <si>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</si>
  <si>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</si>
  <si>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</si>
  <si>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</si>
  <si>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</si>
  <si>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</si>
  <si>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</si>
  <si>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</si>
  <si>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</si>
  <si>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</si>
  <si>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</si>
  <si>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</si>
  <si>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</si>
  <si>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</si>
  <si>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</si>
  <si>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</si>
  <si>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</si>
  <si>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</si>
  <si>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</si>
  <si>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</si>
  <si>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</si>
  <si>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</si>
  <si>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</si>
  <si>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</si>
  <si>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</si>
  <si>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</si>
  <si>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</si>
  <si>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</si>
  <si>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</si>
  <si>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</si>
  <si>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</si>
  <si>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</si>
  <si>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</si>
  <si>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</si>
  <si>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</si>
  <si>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</si>
  <si>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</si>
  <si>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</si>
  <si>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</si>
  <si>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</si>
  <si>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</si>
  <si>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</si>
  <si>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</si>
  <si>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</si>
  <si>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</si>
  <si>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</si>
  <si>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</si>
  <si>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</si>
  <si>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</si>
  <si>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</si>
  <si>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</si>
  <si>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</si>
  <si>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</si>
  <si>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</si>
  <si>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</si>
  <si>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</si>
  <si>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</si>
  <si>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</si>
  <si>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</si>
  <si>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</si>
  <si>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</si>
  <si>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</si>
  <si>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</si>
  <si>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</si>
  <si>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</si>
  <si>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</si>
  <si>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</si>
  <si>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</si>
  <si>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</si>
  <si>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</si>
  <si>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</si>
  <si>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</si>
  <si>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</si>
  <si>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</si>
  <si>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</si>
  <si>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</si>
  <si>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</si>
  <si>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</si>
  <si>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</si>
  <si>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</si>
  <si>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</si>
  <si>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</si>
  <si>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</si>
  <si>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</si>
  <si>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</si>
  <si>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</si>
  <si>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</si>
  <si>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</si>
  <si>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</si>
  <si>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</si>
  <si>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</si>
  <si>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</si>
  <si>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</si>
  <si>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</si>
  <si>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</si>
  <si>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</si>
  <si>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</si>
  <si>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</si>
  <si>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</si>
  <si>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</si>
  <si>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</si>
  <si>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</si>
  <si>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</si>
  <si>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</si>
  <si>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</si>
  <si>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</si>
  <si>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</si>
  <si>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</si>
  <si>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</si>
  <si>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</si>
  <si>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</si>
  <si>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</si>
  <si>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</si>
  <si>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</si>
  <si>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</si>
  <si>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</si>
  <si>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</si>
  <si>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</si>
  <si>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</si>
  <si>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</si>
  <si>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</si>
  <si>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</si>
  <si>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</si>
  <si>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</si>
  <si>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</si>
  <si>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</si>
  <si>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</si>
  <si>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</si>
  <si>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</si>
  <si>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</si>
  <si>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</si>
  <si>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</si>
  <si>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</si>
  <si>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</si>
  <si>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</si>
  <si>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</si>
  <si>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</si>
  <si>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</si>
  <si>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</si>
  <si>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</si>
  <si>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</si>
  <si>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</si>
  <si>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</si>
  <si>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</si>
  <si>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</si>
  <si>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</si>
  <si>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</si>
  <si>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</si>
  <si>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</si>
  <si>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</si>
  <si>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</si>
  <si>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</si>
  <si>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</si>
  <si>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</si>
  <si>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</si>
  <si>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</si>
  <si>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</si>
  <si>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</si>
  <si>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</si>
  <si>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</si>
  <si>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</si>
  <si>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</si>
  <si>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</si>
  <si>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</si>
  <si>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</si>
  <si>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</si>
  <si>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</si>
  <si>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</si>
  <si>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</si>
  <si>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</si>
  <si>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</si>
  <si>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</si>
  <si>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</si>
  <si>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</si>
  <si>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</si>
  <si>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</si>
  <si>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</si>
  <si>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</si>
  <si>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</si>
  <si>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</si>
  <si>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</si>
  <si>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</si>
  <si>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</si>
  <si>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</si>
  <si>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</si>
  <si>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</si>
  <si>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</si>
  <si>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</si>
  <si>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</si>
  <si>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</si>
  <si>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</si>
  <si>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</si>
  <si>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</si>
  <si>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</si>
  <si>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</si>
  <si>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</si>
  <si>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</si>
  <si>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</si>
  <si>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</si>
  <si>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</si>
  <si>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</si>
  <si>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</si>
  <si>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</si>
  <si>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</si>
  <si>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</si>
  <si>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</si>
  <si>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</si>
  <si>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</si>
  <si>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</si>
  <si>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</si>
  <si>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</si>
  <si>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</si>
  <si>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</si>
  <si>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</si>
  <si>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</si>
  <si>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</si>
  <si>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</si>
  <si>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</si>
  <si>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</si>
  <si>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</si>
  <si>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</si>
  <si>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</si>
  <si>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</si>
  <si>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</si>
  <si>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</si>
  <si>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</si>
  <si>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</si>
  <si>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</si>
  <si>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</si>
  <si>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</si>
  <si>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</si>
  <si>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</si>
  <si>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</si>
  <si>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</si>
  <si>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</si>
  <si>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</si>
  <si>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</si>
  <si>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</si>
  <si>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</si>
  <si>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</si>
  <si>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</si>
  <si>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</si>
  <si>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</si>
  <si>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</si>
  <si>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</si>
  <si>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</si>
  <si>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</si>
  <si>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</si>
  <si>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</si>
  <si>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</si>
  <si>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</si>
  <si>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</si>
  <si>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</si>
  <si>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</si>
  <si>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</si>
  <si>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</si>
  <si>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</si>
  <si>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</si>
  <si>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</si>
  <si>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</si>
  <si>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</si>
  <si>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</si>
  <si>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</si>
  <si>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</si>
  <si>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</si>
  <si>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</si>
  <si>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</si>
  <si>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</si>
  <si>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</si>
  <si>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</si>
  <si>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</si>
  <si>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</si>
  <si>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</si>
  <si>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</si>
  <si>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</si>
  <si>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</si>
  <si>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</si>
  <si>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</si>
  <si>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</si>
  <si>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</si>
  <si>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</si>
  <si>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</si>
  <si>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</si>
  <si>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</si>
  <si>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</si>
  <si>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</si>
  <si>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</si>
  <si>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</si>
  <si>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</si>
  <si>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</si>
  <si>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</si>
  <si>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</si>
  <si>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</si>
  <si>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</si>
  <si>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</si>
  <si>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</si>
  <si>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</si>
  <si>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</si>
  <si>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</si>
  <si>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</si>
  <si>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</si>
  <si>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</si>
  <si>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</si>
  <si>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</si>
  <si>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</si>
  <si>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</si>
  <si>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</si>
  <si>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</si>
  <si>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</si>
  <si>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</si>
  <si>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</si>
  <si>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</si>
  <si>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</si>
  <si>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</si>
  <si>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</si>
  <si>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</si>
  <si>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</si>
  <si>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</si>
  <si>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</si>
  <si>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</si>
  <si>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</si>
  <si>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</si>
  <si>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</si>
  <si>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</si>
  <si>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</si>
  <si>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</si>
  <si>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</si>
  <si>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</si>
  <si>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</si>
  <si>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</si>
  <si>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</si>
  <si>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</si>
  <si>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</si>
  <si>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</si>
  <si>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</si>
  <si>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</si>
  <si>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</si>
  <si>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</si>
  <si>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</si>
  <si>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</si>
  <si>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</si>
  <si>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</si>
  <si>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</si>
  <si>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</si>
  <si>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</si>
  <si>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</si>
  <si>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</si>
  <si>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</si>
  <si>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</si>
  <si>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</si>
  <si>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</si>
  <si>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</si>
  <si>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</si>
  <si>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</si>
  <si>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</si>
  <si>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</si>
  <si>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</si>
  <si>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</si>
  <si>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</si>
  <si>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</si>
  <si>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</si>
  <si>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</si>
  <si>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</si>
  <si>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</si>
  <si>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</si>
  <si>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</si>
  <si>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</si>
  <si>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</si>
  <si>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</si>
  <si>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</si>
  <si>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</si>
  <si>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</si>
  <si>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</si>
  <si>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</si>
  <si>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</si>
  <si>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</si>
  <si>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</si>
  <si>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</si>
  <si>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</si>
  <si>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</si>
  <si>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</si>
  <si>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</si>
  <si>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</si>
  <si>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</si>
  <si>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</si>
  <si>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</si>
  <si>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</si>
  <si>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</si>
  <si>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</si>
  <si>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</si>
  <si>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</si>
  <si>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</si>
  <si>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</si>
  <si>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</si>
  <si>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</si>
  <si>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</si>
  <si>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</si>
  <si>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</si>
  <si>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</si>
  <si>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</si>
  <si>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</si>
  <si>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</si>
  <si>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</si>
  <si>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</si>
  <si>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</si>
  <si>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</si>
  <si>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</si>
  <si>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</si>
  <si>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</si>
  <si>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</si>
  <si>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</si>
  <si>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</si>
  <si>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</si>
  <si>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</si>
  <si>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</si>
  <si>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</si>
  <si>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</si>
  <si>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</si>
  <si>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</si>
  <si>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</si>
  <si>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</si>
  <si>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</si>
  <si>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</si>
  <si>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</si>
  <si>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</si>
  <si>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</si>
  <si>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</si>
  <si>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</si>
  <si>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</si>
  <si>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</si>
  <si>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</si>
  <si>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</si>
  <si>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</si>
  <si>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</si>
  <si>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</si>
  <si>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</si>
  <si>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</si>
  <si>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</si>
  <si>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</si>
  <si>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</si>
  <si>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</si>
  <si>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</si>
  <si>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</si>
  <si>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</si>
  <si>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</si>
  <si>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</si>
  <si>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</si>
  <si>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</si>
  <si>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</si>
  <si>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</si>
  <si>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</si>
  <si>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</si>
  <si>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</si>
  <si>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</si>
  <si>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</si>
  <si>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</si>
  <si>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</si>
  <si>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</si>
  <si>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</si>
  <si>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</si>
  <si>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</si>
  <si>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</si>
  <si>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</si>
  <si>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</si>
  <si>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</si>
  <si>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</si>
  <si>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</si>
  <si>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</si>
  <si>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</si>
  <si>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</si>
  <si>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</si>
  <si>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</si>
  <si>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</si>
  <si>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</si>
  <si>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</si>
  <si>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</si>
  <si>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</si>
  <si>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</si>
  <si>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</si>
  <si>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</si>
  <si>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</si>
  <si>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</si>
  <si>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</si>
  <si>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</si>
  <si>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</si>
  <si>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</si>
  <si>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</si>
  <si>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</si>
  <si>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</si>
  <si>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</si>
  <si>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</si>
  <si>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</si>
  <si>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</si>
  <si>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</si>
  <si>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</si>
  <si>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</si>
  <si>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</si>
  <si>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</si>
  <si>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</si>
  <si>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</si>
  <si>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</si>
  <si>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</si>
  <si>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</si>
  <si>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</si>
  <si>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</si>
  <si>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</si>
  <si>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</si>
  <si>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</si>
  <si>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</si>
  <si>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</si>
  <si>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</si>
  <si>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</si>
  <si>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</si>
  <si>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</si>
  <si>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</si>
  <si>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</si>
  <si>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</si>
  <si>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</si>
  <si>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</si>
  <si>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</si>
  <si>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</si>
  <si>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</si>
  <si>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</si>
  <si>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</si>
  <si>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</si>
  <si>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</si>
  <si>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</si>
  <si>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</si>
  <si>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</si>
  <si>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</si>
  <si>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</si>
  <si>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</si>
  <si>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</si>
  <si>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</si>
  <si>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</si>
  <si>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</si>
  <si>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</si>
  <si>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</si>
  <si>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</si>
  <si>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</si>
  <si>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</si>
  <si>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</si>
  <si>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</si>
  <si>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</si>
  <si>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</si>
  <si>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</si>
  <si>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</si>
  <si>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</si>
  <si>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</si>
  <si>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</si>
  <si>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</si>
  <si>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</si>
  <si>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</si>
  <si>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</si>
  <si>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</si>
  <si>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</si>
  <si>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</si>
  <si>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</si>
  <si>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</si>
  <si>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</si>
  <si>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</si>
  <si>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</si>
  <si>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</si>
  <si>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</si>
  <si>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</si>
  <si>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</si>
  <si>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</si>
  <si>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</si>
  <si>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</si>
  <si>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</si>
  <si>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</si>
  <si>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</si>
  <si>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</si>
  <si>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</si>
  <si>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</si>
  <si>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</si>
  <si>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</si>
  <si>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</si>
  <si>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</si>
  <si>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</si>
  <si>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</si>
  <si>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</si>
  <si>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</si>
  <si>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</si>
  <si>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</si>
  <si>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</si>
  <si>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</si>
  <si>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</si>
  <si>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</si>
  <si>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</si>
  <si>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</si>
  <si>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</si>
  <si>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</si>
  <si>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</si>
  <si>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</si>
  <si>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</si>
  <si>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</si>
  <si>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</si>
  <si>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</si>
  <si>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</si>
  <si>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</si>
  <si>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</si>
  <si>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</si>
  <si>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</si>
  <si>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</si>
  <si>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</si>
  <si>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</si>
  <si>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</si>
  <si>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</si>
  <si>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</si>
  <si>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</si>
  <si>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</si>
  <si>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</si>
  <si>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</si>
  <si>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</si>
  <si>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</si>
  <si>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</si>
  <si>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</si>
  <si>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</si>
  <si>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</si>
  <si>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</si>
  <si>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</si>
  <si>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</si>
  <si>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</si>
  <si>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</si>
  <si>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</si>
  <si>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</si>
  <si>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</si>
  <si>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</si>
  <si>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</si>
  <si>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</si>
  <si>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</si>
  <si>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</si>
  <si>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</si>
  <si>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</si>
  <si>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</si>
  <si>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</si>
  <si>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</si>
  <si>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</si>
  <si>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</si>
  <si>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</si>
  <si>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</si>
  <si>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</si>
  <si>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</si>
  <si>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</si>
  <si>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</si>
  <si>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</si>
  <si>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</si>
  <si>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</si>
  <si>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</si>
  <si>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</si>
  <si>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</si>
  <si>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</si>
  <si>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</si>
  <si>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</si>
  <si>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</si>
  <si>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</si>
  <si>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</si>
  <si>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</si>
  <si>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</si>
  <si>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</si>
  <si>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</si>
  <si>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</si>
  <si>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</si>
  <si>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</si>
  <si>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</si>
  <si>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</si>
  <si>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</si>
  <si>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</si>
  <si>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</si>
  <si>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</si>
  <si>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</si>
  <si>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</si>
  <si>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</si>
  <si>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</si>
  <si>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</si>
  <si>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</si>
  <si>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</si>
  <si>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</si>
  <si>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</si>
  <si>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</si>
  <si>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</si>
  <si>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</si>
  <si>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</si>
  <si>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</si>
  <si>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</si>
  <si>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</si>
  <si>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زشریف</t>
  </si>
  <si>
    <t>زشریف 138 تا 420</t>
  </si>
  <si>
    <t>وغدیر 571 تا 197.7</t>
  </si>
  <si>
    <t>زشریف 128 تا 420</t>
  </si>
  <si>
    <t>وغدیر 658 تا 197.8</t>
  </si>
  <si>
    <t>واریز 100 هزار تومن حساب مریم و 100 هزار تومن حساب علی</t>
  </si>
  <si>
    <t>2/3/1398</t>
  </si>
  <si>
    <t>4/3/1398</t>
  </si>
  <si>
    <t>به بورس رضا</t>
  </si>
  <si>
    <t>تعداد 6000 سهم وغدیر با پول علی در حساب بورسی رضا خریدم</t>
  </si>
  <si>
    <t>5/3/1398</t>
  </si>
  <si>
    <t>سه تا 115 به حساب بورس علی و مریم و سارا و 200 به بورس رضا</t>
  </si>
  <si>
    <t>از بدهی وغدیر مریم به رضا دادم (خرید سهام در حساب رضا) 5/3/98</t>
  </si>
  <si>
    <t>از بدهی وغدیر مریم به رضا دادم (خرید سهام در حساب رضا) 4/3/98</t>
  </si>
  <si>
    <t>تعداد 4057 سهم وغدیر با پول علی در حساب بورسی رضا خریدم</t>
  </si>
  <si>
    <t xml:space="preserve">تعداد 43637 عدد سهام وغدیر </t>
  </si>
  <si>
    <t>دکپسول</t>
  </si>
  <si>
    <t>دکپسول 106 تا 570</t>
  </si>
  <si>
    <t>واریز 115 به حساب علی و مریم</t>
  </si>
  <si>
    <t>6/3/1398</t>
  </si>
  <si>
    <t>7/3/1398</t>
  </si>
  <si>
    <t>وغدیر 4000 تا 198.1</t>
  </si>
  <si>
    <t>واریز 900 هزار تومن حساب علی</t>
  </si>
  <si>
    <t>8/3/1398</t>
  </si>
  <si>
    <t>وغدیر 519 تا 200</t>
  </si>
  <si>
    <t>وغدیر 521 تا 199.8</t>
  </si>
  <si>
    <t>وغدیر 2000 تا 199.3</t>
  </si>
  <si>
    <t>658225 بابت تسویه اعتبار</t>
  </si>
  <si>
    <t>واریز 50 هزار حساب مریم و 241774 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</si>
</sst>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abSelected="1" topLeftCell="H115" zoomScale="90" zoomScaleNormal="90" workbookViewId="0">
      <selection activeCell="Q126" sqref="Q126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4640</v>
      </c>
      <c r="AE1" s="168" t="s">
        <v>4641</v>
      </c>
      <c r="AF1" s="99" t="s">
        <v>8</v>
      </c>
    </row>
    <row r="2" spans="1:32">
      <c r="A2" s="99" t="s">
        <v>4243</v>
      </c>
      <c r="B2" s="204">
        <v>1707</v>
      </c>
      <c r="C2" s="205" t="s">
        <v>4611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4585</v>
      </c>
      <c r="B3" s="204">
        <v>1184</v>
      </c>
      <c r="C3" s="205" t="s">
        <v>4591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4586</v>
      </c>
      <c r="B4" s="204">
        <v>1804</v>
      </c>
      <c r="C4" s="205" t="s">
        <v>4592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4617</v>
      </c>
      <c r="L5" s="221">
        <v>0</v>
      </c>
      <c r="M5" s="220">
        <v>3</v>
      </c>
      <c r="N5" s="221">
        <f t="shared" ref="N5" si="3">L5*M5</f>
        <v>0</v>
      </c>
      <c r="O5" s="222" t="s">
        <v>4621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4622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4626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4626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4626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4627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4626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4631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4631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4633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4907</v>
      </c>
      <c r="F12" s="114">
        <v>0</v>
      </c>
      <c r="J12" s="168">
        <v>11</v>
      </c>
      <c r="K12" s="168" t="s">
        <v>4660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4633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4649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4665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4678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4678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4678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4703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4693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4703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4693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4715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4699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4715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4703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4706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4709</v>
      </c>
      <c r="C23" s="99" t="s">
        <v>4710</v>
      </c>
      <c r="D23" s="99" t="s">
        <v>4711</v>
      </c>
      <c r="E23" s="69" t="s">
        <v>4712</v>
      </c>
      <c r="J23" s="214">
        <v>22</v>
      </c>
      <c r="K23" s="214" t="s">
        <v>4716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4706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4586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4665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4716</v>
      </c>
      <c r="L24" s="221">
        <v>4388600</v>
      </c>
      <c r="M24" s="220">
        <v>5</v>
      </c>
      <c r="N24" s="221">
        <f t="shared" si="7"/>
        <v>21943000</v>
      </c>
      <c r="O24" s="222" t="s">
        <v>4728</v>
      </c>
      <c r="W24" s="214" t="s">
        <v>4716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4675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4718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4718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4678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4718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4727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4693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4727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4703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4727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4740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4706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4740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4707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4740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4713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4740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4740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4715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4740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4744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4745</v>
      </c>
    </row>
    <row r="33" spans="1:32">
      <c r="A33" s="99" t="s">
        <v>4716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4756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4744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4756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4744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4727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4758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4758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4758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4758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4740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4907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4758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4744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4907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4766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4750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4766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4766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4783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4799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4804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4783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4814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4816</v>
      </c>
    </row>
    <row r="45" spans="1:32">
      <c r="A45" s="99" t="s">
        <v>4794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4814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4799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4840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4803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5006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5006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4814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5006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4818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5006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5006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5010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4840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5013</v>
      </c>
      <c r="X52" s="214" t="s">
        <v>4537</v>
      </c>
      <c r="Y52" s="113">
        <v>4957.7</v>
      </c>
      <c r="Z52" s="214" t="s">
        <v>5010</v>
      </c>
      <c r="AA52" s="214" t="s">
        <v>4390</v>
      </c>
      <c r="AB52" s="214">
        <v>3589.3</v>
      </c>
      <c r="AC52" s="214" t="s">
        <v>5010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4843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5013</v>
      </c>
      <c r="X53" s="214" t="s">
        <v>4537</v>
      </c>
      <c r="Y53" s="113">
        <v>4958</v>
      </c>
      <c r="Z53" s="214" t="s">
        <v>5010</v>
      </c>
      <c r="AA53" s="214" t="s">
        <v>4394</v>
      </c>
      <c r="AB53" s="214">
        <v>4730.8999999999996</v>
      </c>
      <c r="AC53" s="214" t="s">
        <v>5010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5013</v>
      </c>
      <c r="X54" s="214" t="s">
        <v>4537</v>
      </c>
      <c r="Y54" s="113">
        <v>4958</v>
      </c>
      <c r="Z54" s="214" t="s">
        <v>5010</v>
      </c>
      <c r="AA54" s="214" t="s">
        <v>4409</v>
      </c>
      <c r="AB54" s="214">
        <v>671.9</v>
      </c>
      <c r="AC54" s="214" t="s">
        <v>5010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4853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5013</v>
      </c>
      <c r="X55" s="214" t="s">
        <v>4537</v>
      </c>
      <c r="Y55" s="113">
        <v>4958</v>
      </c>
      <c r="Z55" s="214" t="s">
        <v>5010</v>
      </c>
      <c r="AA55" s="214" t="s">
        <v>4243</v>
      </c>
      <c r="AB55" s="214">
        <v>194.4</v>
      </c>
      <c r="AC55" s="214" t="s">
        <v>5010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4860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4919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4938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 t="s">
        <v>5053</v>
      </c>
      <c r="B63" s="95">
        <v>4700000</v>
      </c>
      <c r="C63" s="95">
        <v>4830000</v>
      </c>
      <c r="D63" s="95">
        <v>13850</v>
      </c>
      <c r="E63" s="95">
        <v>14050</v>
      </c>
      <c r="I63" s="214" t="s">
        <v>8</v>
      </c>
      <c r="J63" s="214" t="s">
        <v>4769</v>
      </c>
      <c r="K63" s="214" t="s">
        <v>180</v>
      </c>
      <c r="L63" s="227" t="s">
        <v>4767</v>
      </c>
      <c r="M63" s="227" t="s">
        <v>4768</v>
      </c>
      <c r="N63" s="214" t="s">
        <v>6</v>
      </c>
      <c r="O63" s="214" t="s">
        <v>4770</v>
      </c>
      <c r="P63" s="214" t="s">
        <v>4785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4716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4744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A66" s="99"/>
      <c r="B66" s="95"/>
      <c r="C66" s="95"/>
      <c r="D66" s="95"/>
      <c r="E66" s="95"/>
      <c r="F66" t="s">
        <v>25</v>
      </c>
      <c r="I66" s="214"/>
      <c r="J66" s="113">
        <f t="shared" ref="J66:J88" si="14">L66-L65</f>
        <v>11531981</v>
      </c>
      <c r="K66" s="214" t="s">
        <v>4750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A67" s="99"/>
      <c r="B67" s="95"/>
      <c r="C67" s="95"/>
      <c r="D67" s="95"/>
      <c r="E67" s="95"/>
      <c r="I67" s="214"/>
      <c r="J67" s="113">
        <f t="shared" si="14"/>
        <v>17387769</v>
      </c>
      <c r="K67" s="214" t="s">
        <v>4756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A68" s="99"/>
      <c r="B68" s="95"/>
      <c r="C68" s="95"/>
      <c r="D68" s="95"/>
      <c r="E68" s="95"/>
      <c r="I68" s="214"/>
      <c r="J68" s="113">
        <f t="shared" si="14"/>
        <v>11024486</v>
      </c>
      <c r="K68" s="214" t="s">
        <v>4758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A69" s="99"/>
      <c r="B69" s="95"/>
      <c r="C69" s="95"/>
      <c r="D69" s="95"/>
      <c r="E69" s="95"/>
      <c r="I69" s="214"/>
      <c r="J69" s="113">
        <f t="shared" si="14"/>
        <v>-8942851</v>
      </c>
      <c r="K69" s="214" t="s">
        <v>4766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A70" s="99"/>
      <c r="B70" s="95"/>
      <c r="C70" s="95"/>
      <c r="D70" s="95"/>
      <c r="E70" s="95"/>
      <c r="I70" s="5" t="s">
        <v>4782</v>
      </c>
      <c r="J70" s="35">
        <f t="shared" si="14"/>
        <v>45893629</v>
      </c>
      <c r="K70" s="5" t="s">
        <v>4774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A71" s="99"/>
      <c r="B71" s="95"/>
      <c r="C71" s="95"/>
      <c r="D71" s="95"/>
      <c r="E71" s="95"/>
      <c r="I71" s="214"/>
      <c r="J71" s="113">
        <f t="shared" si="14"/>
        <v>3462014</v>
      </c>
      <c r="K71" s="214" t="s">
        <v>4783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A72" s="99"/>
      <c r="B72" s="95"/>
      <c r="C72" s="95"/>
      <c r="D72" s="95"/>
      <c r="E72" s="95"/>
      <c r="I72" s="214"/>
      <c r="J72" s="113">
        <f t="shared" si="14"/>
        <v>-2687296</v>
      </c>
      <c r="K72" s="214" t="s">
        <v>4799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A73" s="99"/>
      <c r="B73" s="95"/>
      <c r="C73" s="95"/>
      <c r="D73" s="95"/>
      <c r="E73" s="95"/>
      <c r="I73" s="214"/>
      <c r="J73" s="113">
        <f t="shared" si="14"/>
        <v>-6009466</v>
      </c>
      <c r="K73" s="214" t="s">
        <v>4803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A74" s="99"/>
      <c r="B74" s="95"/>
      <c r="C74" s="95"/>
      <c r="D74" s="95"/>
      <c r="E74" s="95"/>
      <c r="I74" s="214"/>
      <c r="J74" s="113">
        <f t="shared" si="14"/>
        <v>-1273071</v>
      </c>
      <c r="K74" s="214" t="s">
        <v>4804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4814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4818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D77" s="114">
        <f>B62-B28+L19</f>
        <v>4991628</v>
      </c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4654</v>
      </c>
      <c r="AA77" s="96"/>
      <c r="AB77" s="96"/>
      <c r="AC77" s="96"/>
      <c r="AD77" s="96"/>
    </row>
    <row r="78" spans="1:32">
      <c r="B78" t="s">
        <v>25</v>
      </c>
      <c r="F78" t="s">
        <v>25</v>
      </c>
      <c r="I78" s="214"/>
      <c r="J78" s="113">
        <f t="shared" si="14"/>
        <v>6046556</v>
      </c>
      <c r="K78" s="214" t="s">
        <v>4840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4655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4843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4658</v>
      </c>
      <c r="Y79" s="22" t="s">
        <v>4657</v>
      </c>
      <c r="Z79" s="22" t="s">
        <v>4656</v>
      </c>
      <c r="AA79" s="22" t="s">
        <v>4659</v>
      </c>
    </row>
    <row r="80" spans="1:32">
      <c r="D80" t="s">
        <v>25</v>
      </c>
      <c r="E80" t="s">
        <v>25</v>
      </c>
      <c r="G80" t="s">
        <v>25</v>
      </c>
      <c r="I80" s="5" t="s">
        <v>4864</v>
      </c>
      <c r="J80" s="35">
        <f t="shared" si="14"/>
        <v>-1984018</v>
      </c>
      <c r="K80" s="5" t="s">
        <v>4846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4853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4863</v>
      </c>
      <c r="J82" s="86">
        <f t="shared" si="14"/>
        <v>8860702</v>
      </c>
      <c r="K82" s="192" t="s">
        <v>4860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4872</v>
      </c>
      <c r="J83" s="86">
        <f>L83-L82+31412200</f>
        <v>20439704</v>
      </c>
      <c r="K83" s="192" t="s">
        <v>4865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4873</v>
      </c>
      <c r="J84" s="189">
        <f t="shared" si="14"/>
        <v>21224293</v>
      </c>
      <c r="K84" s="190" t="s">
        <v>4874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4882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4893</v>
      </c>
      <c r="J87" s="197">
        <f>L87-L86-20000</f>
        <v>7878257</v>
      </c>
      <c r="K87" s="191" t="s">
        <v>4883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4895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4896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4929</v>
      </c>
      <c r="J90" s="197">
        <f>L90-L89-1000000</f>
        <v>3840350</v>
      </c>
      <c r="K90" s="191" t="s">
        <v>4907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47" si="19">L91-L90</f>
        <v>-12127865</v>
      </c>
      <c r="K91" s="214" t="s">
        <v>4908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4919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4921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4922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4928</v>
      </c>
      <c r="J95" s="197">
        <f>L95-L94-2520000</f>
        <v>-274657</v>
      </c>
      <c r="K95" s="191" t="s">
        <v>4925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4930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4933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4935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4936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4938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4939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4942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4941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4988</v>
      </c>
      <c r="J104" s="197">
        <f>L104-L103-1400000</f>
        <v>-1688384</v>
      </c>
      <c r="K104" s="191" t="s">
        <v>4985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4987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4990</v>
      </c>
      <c r="J106" s="189">
        <f>L106-L105-1550000</f>
        <v>16319322</v>
      </c>
      <c r="K106" s="190" t="s">
        <v>4989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4991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4994</v>
      </c>
      <c r="J108" s="189">
        <f>L108-L107-250000</f>
        <v>9825827</v>
      </c>
      <c r="K108" s="190" t="s">
        <v>4934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4995</v>
      </c>
      <c r="L109" s="84">
        <v>764265377</v>
      </c>
      <c r="M109" s="84">
        <v>346850621</v>
      </c>
      <c r="N109" s="117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5003</v>
      </c>
      <c r="J110" s="250">
        <f>L110-L109+48527480</f>
        <v>-4646184</v>
      </c>
      <c r="K110" s="217" t="s">
        <v>4999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5005</v>
      </c>
      <c r="L111" s="84">
        <v>723218149</v>
      </c>
      <c r="M111" s="84">
        <v>378192152</v>
      </c>
      <c r="N111" s="113">
        <f t="shared" ref="N111:N147" si="27">L111+M111</f>
        <v>1101410301</v>
      </c>
      <c r="O111" s="113">
        <f t="shared" ref="O111:O147" si="28">M111-M110</f>
        <v>12390034</v>
      </c>
      <c r="P111" s="113">
        <f t="shared" ref="P111:P147" si="29">N111-N110</f>
        <v>24516470</v>
      </c>
      <c r="Q111" s="84">
        <v>0</v>
      </c>
    </row>
    <row r="112" spans="9:20">
      <c r="I112" s="190" t="s">
        <v>5011</v>
      </c>
      <c r="J112" s="189">
        <f t="shared" si="19"/>
        <v>-11559770</v>
      </c>
      <c r="K112" s="190" t="s">
        <v>5006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5015</v>
      </c>
      <c r="J113" s="113">
        <f t="shared" si="19"/>
        <v>-47970668</v>
      </c>
      <c r="K113" s="214" t="s">
        <v>5013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5022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5024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5027</v>
      </c>
      <c r="J116" s="189">
        <f t="shared" si="19"/>
        <v>-3653734</v>
      </c>
      <c r="K116" s="190" t="s">
        <v>5025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5030</v>
      </c>
      <c r="J117" s="189">
        <f t="shared" si="19"/>
        <v>-492645</v>
      </c>
      <c r="K117" s="190" t="s">
        <v>5028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5031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5032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5037</v>
      </c>
      <c r="J120" s="189">
        <f>L120-L119-2100000</f>
        <v>2603523</v>
      </c>
      <c r="K120" s="190" t="s">
        <v>5034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5048</v>
      </c>
      <c r="J121" s="189">
        <f>L121-L120-100000</f>
        <v>1223636</v>
      </c>
      <c r="K121" s="190" t="s">
        <v>5042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-3258218</v>
      </c>
      <c r="K122" s="214" t="s">
        <v>5050</v>
      </c>
      <c r="L122" s="84">
        <v>687768941</v>
      </c>
      <c r="M122" s="84">
        <v>400952125</v>
      </c>
      <c r="N122" s="113">
        <f t="shared" si="27"/>
        <v>1088721066</v>
      </c>
      <c r="O122" s="113">
        <f t="shared" si="28"/>
        <v>-968588</v>
      </c>
      <c r="P122" s="113">
        <f t="shared" si="29"/>
        <v>-4226806</v>
      </c>
      <c r="Q122" s="230">
        <v>0</v>
      </c>
    </row>
    <row r="123" spans="9:19">
      <c r="I123" s="190" t="s">
        <v>5061</v>
      </c>
      <c r="J123" s="189">
        <f>L123-L122-115000</f>
        <v>-1004989</v>
      </c>
      <c r="K123" s="190" t="s">
        <v>5053</v>
      </c>
      <c r="L123" s="240">
        <v>686878952</v>
      </c>
      <c r="M123" s="240">
        <v>402566982</v>
      </c>
      <c r="N123" s="189">
        <f>L123+M123</f>
        <v>1089445934</v>
      </c>
      <c r="O123" s="189">
        <f>M123-M122-115000</f>
        <v>1499857</v>
      </c>
      <c r="P123" s="189">
        <f>N123-N122-230000</f>
        <v>494868</v>
      </c>
      <c r="Q123" s="230">
        <v>230000</v>
      </c>
    </row>
    <row r="124" spans="9:19">
      <c r="I124" s="190" t="s">
        <v>5065</v>
      </c>
      <c r="J124" s="189">
        <f>L124-L123-900000</f>
        <v>16455514</v>
      </c>
      <c r="K124" s="190" t="s">
        <v>5063</v>
      </c>
      <c r="L124" s="240">
        <v>704234466</v>
      </c>
      <c r="M124" s="240">
        <v>413359717</v>
      </c>
      <c r="N124" s="189">
        <f t="shared" ref="N124:N146" si="30">L124+M124</f>
        <v>1117594183</v>
      </c>
      <c r="O124" s="189">
        <f t="shared" si="28"/>
        <v>10792735</v>
      </c>
      <c r="P124" s="189">
        <f>N124-N123-900000</f>
        <v>27248249</v>
      </c>
      <c r="Q124" s="230">
        <v>900000</v>
      </c>
    </row>
    <row r="125" spans="9:19">
      <c r="I125" s="190" t="s">
        <v>5071</v>
      </c>
      <c r="J125" s="189">
        <f>L125-L124-241774</f>
        <v>7847987</v>
      </c>
      <c r="K125" s="190" t="s">
        <v>5066</v>
      </c>
      <c r="L125" s="240">
        <v>712324227</v>
      </c>
      <c r="M125" s="240">
        <v>416450606</v>
      </c>
      <c r="N125" s="35">
        <f>L125+M125</f>
        <v>1128774833</v>
      </c>
      <c r="O125" s="189">
        <f>M125-M124-50000</f>
        <v>3040889</v>
      </c>
      <c r="P125" s="189">
        <f>N125-N124-291774</f>
        <v>10888876</v>
      </c>
      <c r="Q125" s="230">
        <v>291774</v>
      </c>
    </row>
    <row r="126" spans="9:19">
      <c r="I126" s="214"/>
      <c r="J126" s="113">
        <f t="shared" si="19"/>
        <v>-712324227</v>
      </c>
      <c r="K126" s="214"/>
      <c r="L126" s="84"/>
      <c r="M126" s="84"/>
      <c r="N126" s="113">
        <f t="shared" si="30"/>
        <v>0</v>
      </c>
      <c r="O126" s="113">
        <f t="shared" si="28"/>
        <v>-416450606</v>
      </c>
      <c r="P126" s="113">
        <f t="shared" si="29"/>
        <v>-1128774833</v>
      </c>
    </row>
    <row r="127" spans="9:19">
      <c r="I127" s="214"/>
      <c r="J127" s="113">
        <f t="shared" si="19"/>
        <v>0</v>
      </c>
      <c r="K127" s="214"/>
      <c r="L127" s="84"/>
      <c r="M127" s="84"/>
      <c r="N127" s="113">
        <f t="shared" si="30"/>
        <v>0</v>
      </c>
      <c r="O127" s="113">
        <f t="shared" si="28"/>
        <v>0</v>
      </c>
      <c r="P127" s="113">
        <f t="shared" si="29"/>
        <v>0</v>
      </c>
    </row>
    <row r="128" spans="9:19">
      <c r="I128" s="214"/>
      <c r="J128" s="113">
        <f t="shared" si="19"/>
        <v>0</v>
      </c>
      <c r="K128" s="214"/>
      <c r="L128" s="84"/>
      <c r="M128" s="84"/>
      <c r="N128" s="113">
        <f t="shared" si="30"/>
        <v>0</v>
      </c>
      <c r="O128" s="113">
        <f t="shared" si="28"/>
        <v>0</v>
      </c>
      <c r="P128" s="113">
        <f t="shared" si="29"/>
        <v>0</v>
      </c>
    </row>
    <row r="129" spans="9:19">
      <c r="I129" s="214"/>
      <c r="J129" s="113">
        <f t="shared" si="19"/>
        <v>0</v>
      </c>
      <c r="K129" s="214"/>
      <c r="L129" s="84"/>
      <c r="M129" s="84"/>
      <c r="N129" s="113">
        <f t="shared" si="30"/>
        <v>0</v>
      </c>
      <c r="O129" s="113">
        <f t="shared" si="28"/>
        <v>0</v>
      </c>
      <c r="P129" s="113">
        <f t="shared" si="29"/>
        <v>0</v>
      </c>
    </row>
    <row r="130" spans="9:19">
      <c r="I130" s="214"/>
      <c r="J130" s="113">
        <f t="shared" si="19"/>
        <v>0</v>
      </c>
      <c r="K130" s="214"/>
      <c r="L130" s="84"/>
      <c r="M130" s="84"/>
      <c r="N130" s="113">
        <f t="shared" si="30"/>
        <v>0</v>
      </c>
      <c r="O130" s="113">
        <f t="shared" si="28"/>
        <v>0</v>
      </c>
      <c r="P130" s="113">
        <f t="shared" si="29"/>
        <v>0</v>
      </c>
      <c r="S130" t="s">
        <v>25</v>
      </c>
    </row>
    <row r="131" spans="9:19">
      <c r="I131" s="214"/>
      <c r="J131" s="113">
        <f t="shared" si="19"/>
        <v>0</v>
      </c>
      <c r="K131" s="214"/>
      <c r="L131" s="84"/>
      <c r="M131" s="84"/>
      <c r="N131" s="113">
        <f t="shared" si="30"/>
        <v>0</v>
      </c>
      <c r="O131" s="113">
        <f t="shared" si="28"/>
        <v>0</v>
      </c>
      <c r="P131" s="113">
        <f t="shared" si="29"/>
        <v>0</v>
      </c>
      <c r="S131" t="s">
        <v>25</v>
      </c>
    </row>
    <row r="132" spans="9:19">
      <c r="I132" s="214"/>
      <c r="J132" s="113">
        <f t="shared" si="19"/>
        <v>0</v>
      </c>
      <c r="K132" s="214"/>
      <c r="L132" s="84"/>
      <c r="M132" s="84"/>
      <c r="N132" s="113">
        <f t="shared" si="30"/>
        <v>0</v>
      </c>
      <c r="O132" s="113">
        <f t="shared" si="28"/>
        <v>0</v>
      </c>
      <c r="P132" s="113">
        <f t="shared" si="29"/>
        <v>0</v>
      </c>
    </row>
    <row r="133" spans="9:19">
      <c r="I133" s="214"/>
      <c r="J133" s="113">
        <f t="shared" si="19"/>
        <v>0</v>
      </c>
      <c r="K133" s="214"/>
      <c r="L133" s="84"/>
      <c r="M133" s="84"/>
      <c r="N133" s="113">
        <f t="shared" si="30"/>
        <v>0</v>
      </c>
      <c r="O133" s="113">
        <f t="shared" si="28"/>
        <v>0</v>
      </c>
      <c r="P133" s="113">
        <f t="shared" si="29"/>
        <v>0</v>
      </c>
    </row>
    <row r="134" spans="9:19">
      <c r="I134" s="214"/>
      <c r="J134" s="113">
        <f t="shared" si="19"/>
        <v>0</v>
      </c>
      <c r="K134" s="214"/>
      <c r="L134" s="84"/>
      <c r="M134" s="84"/>
      <c r="N134" s="113">
        <f t="shared" si="30"/>
        <v>0</v>
      </c>
      <c r="O134" s="113">
        <f t="shared" si="28"/>
        <v>0</v>
      </c>
      <c r="P134" s="113">
        <f t="shared" si="29"/>
        <v>0</v>
      </c>
    </row>
    <row r="135" spans="9:19">
      <c r="I135" s="214"/>
      <c r="J135" s="113">
        <f t="shared" si="19"/>
        <v>0</v>
      </c>
      <c r="K135" s="214"/>
      <c r="L135" s="84"/>
      <c r="M135" s="84"/>
      <c r="N135" s="113">
        <f t="shared" si="30"/>
        <v>0</v>
      </c>
      <c r="O135" s="113">
        <f t="shared" si="28"/>
        <v>0</v>
      </c>
      <c r="P135" s="113">
        <f t="shared" si="29"/>
        <v>0</v>
      </c>
    </row>
    <row r="136" spans="9:19">
      <c r="I136" s="214"/>
      <c r="J136" s="113">
        <f t="shared" si="19"/>
        <v>0</v>
      </c>
      <c r="K136" s="214"/>
      <c r="L136" s="84"/>
      <c r="M136" s="84"/>
      <c r="N136" s="113">
        <f t="shared" si="30"/>
        <v>0</v>
      </c>
      <c r="O136" s="113">
        <f t="shared" si="28"/>
        <v>0</v>
      </c>
      <c r="P136" s="113">
        <f t="shared" si="29"/>
        <v>0</v>
      </c>
    </row>
    <row r="137" spans="9:19">
      <c r="I137" s="214"/>
      <c r="J137" s="113">
        <f t="shared" si="19"/>
        <v>0</v>
      </c>
      <c r="K137" s="214"/>
      <c r="L137" s="84"/>
      <c r="M137" s="84"/>
      <c r="N137" s="113">
        <f t="shared" si="30"/>
        <v>0</v>
      </c>
      <c r="O137" s="113">
        <f t="shared" si="28"/>
        <v>0</v>
      </c>
      <c r="P137" s="113">
        <f t="shared" si="29"/>
        <v>0</v>
      </c>
    </row>
    <row r="138" spans="9:19">
      <c r="I138" s="214"/>
      <c r="J138" s="113">
        <f t="shared" si="19"/>
        <v>0</v>
      </c>
      <c r="K138" s="214"/>
      <c r="L138" s="84"/>
      <c r="M138" s="84"/>
      <c r="N138" s="113">
        <f t="shared" si="30"/>
        <v>0</v>
      </c>
      <c r="O138" s="113">
        <f t="shared" si="28"/>
        <v>0</v>
      </c>
      <c r="P138" s="113">
        <f t="shared" si="29"/>
        <v>0</v>
      </c>
    </row>
    <row r="139" spans="9:19">
      <c r="I139" s="214"/>
      <c r="J139" s="113">
        <f t="shared" si="19"/>
        <v>0</v>
      </c>
      <c r="K139" s="214"/>
      <c r="L139" s="84"/>
      <c r="M139" s="84"/>
      <c r="N139" s="113">
        <f t="shared" si="30"/>
        <v>0</v>
      </c>
      <c r="O139" s="113">
        <f t="shared" si="28"/>
        <v>0</v>
      </c>
      <c r="P139" s="113">
        <f t="shared" si="29"/>
        <v>0</v>
      </c>
    </row>
    <row r="140" spans="9:19">
      <c r="I140" s="214"/>
      <c r="J140" s="113">
        <f t="shared" si="19"/>
        <v>0</v>
      </c>
      <c r="K140" s="214"/>
      <c r="L140" s="84"/>
      <c r="M140" s="84"/>
      <c r="N140" s="113">
        <f t="shared" si="30"/>
        <v>0</v>
      </c>
      <c r="O140" s="113">
        <f t="shared" si="28"/>
        <v>0</v>
      </c>
      <c r="P140" s="113">
        <f t="shared" si="29"/>
        <v>0</v>
      </c>
    </row>
    <row r="141" spans="9:19">
      <c r="I141" s="214"/>
      <c r="J141" s="113">
        <f t="shared" si="19"/>
        <v>0</v>
      </c>
      <c r="K141" s="214"/>
      <c r="L141" s="84"/>
      <c r="M141" s="84"/>
      <c r="N141" s="113">
        <f t="shared" si="30"/>
        <v>0</v>
      </c>
      <c r="O141" s="113">
        <f t="shared" si="28"/>
        <v>0</v>
      </c>
      <c r="P141" s="113">
        <f t="shared" si="29"/>
        <v>0</v>
      </c>
    </row>
    <row r="142" spans="9:19">
      <c r="I142" s="214"/>
      <c r="J142" s="113">
        <f t="shared" si="19"/>
        <v>0</v>
      </c>
      <c r="K142" s="214"/>
      <c r="L142" s="84"/>
      <c r="M142" s="84"/>
      <c r="N142" s="113">
        <f t="shared" si="30"/>
        <v>0</v>
      </c>
      <c r="O142" s="113">
        <f t="shared" si="28"/>
        <v>0</v>
      </c>
      <c r="P142" s="113">
        <f t="shared" si="29"/>
        <v>0</v>
      </c>
    </row>
    <row r="143" spans="9:19">
      <c r="I143" s="214"/>
      <c r="J143" s="113">
        <f t="shared" si="19"/>
        <v>0</v>
      </c>
      <c r="K143" s="214"/>
      <c r="L143" s="84"/>
      <c r="M143" s="84"/>
      <c r="N143" s="113">
        <f t="shared" si="30"/>
        <v>0</v>
      </c>
      <c r="O143" s="113">
        <f t="shared" si="28"/>
        <v>0</v>
      </c>
      <c r="P143" s="113">
        <f t="shared" si="29"/>
        <v>0</v>
      </c>
    </row>
    <row r="144" spans="9:19">
      <c r="I144" s="214"/>
      <c r="J144" s="113">
        <f t="shared" si="19"/>
        <v>0</v>
      </c>
      <c r="K144" s="214"/>
      <c r="L144" s="84"/>
      <c r="M144" s="84"/>
      <c r="N144" s="113">
        <f t="shared" si="30"/>
        <v>0</v>
      </c>
      <c r="O144" s="113">
        <f t="shared" si="28"/>
        <v>0</v>
      </c>
      <c r="P144" s="113">
        <f t="shared" si="29"/>
        <v>0</v>
      </c>
    </row>
    <row r="145" spans="9:16">
      <c r="I145" s="214"/>
      <c r="J145" s="113">
        <f t="shared" si="19"/>
        <v>0</v>
      </c>
      <c r="K145" s="214"/>
      <c r="L145" s="84"/>
      <c r="M145" s="84"/>
      <c r="N145" s="113">
        <f t="shared" si="30"/>
        <v>0</v>
      </c>
      <c r="O145" s="113">
        <f t="shared" si="28"/>
        <v>0</v>
      </c>
      <c r="P145" s="113">
        <f t="shared" si="29"/>
        <v>0</v>
      </c>
    </row>
    <row r="146" spans="9:16">
      <c r="I146" s="214"/>
      <c r="J146" s="113">
        <f t="shared" si="19"/>
        <v>0</v>
      </c>
      <c r="K146" s="214"/>
      <c r="L146" s="84"/>
      <c r="M146" s="84"/>
      <c r="N146" s="113">
        <f t="shared" si="30"/>
        <v>0</v>
      </c>
      <c r="O146" s="113">
        <f t="shared" si="28"/>
        <v>0</v>
      </c>
      <c r="P146" s="113">
        <f t="shared" si="29"/>
        <v>0</v>
      </c>
    </row>
    <row r="147" spans="9:16">
      <c r="I147" s="214"/>
      <c r="J147" s="113">
        <f t="shared" si="19"/>
        <v>0</v>
      </c>
      <c r="K147" s="214"/>
      <c r="L147" s="84">
        <v>0</v>
      </c>
      <c r="M147" s="84"/>
      <c r="N147" s="214">
        <f t="shared" si="27"/>
        <v>0</v>
      </c>
      <c r="O147" s="113">
        <f t="shared" si="28"/>
        <v>0</v>
      </c>
      <c r="P147" s="113">
        <f t="shared" si="29"/>
        <v>0</v>
      </c>
    </row>
    <row r="150" spans="9:16">
      <c r="O150" t="s">
        <v>25</v>
      </c>
    </row>
    <row r="151" spans="9:16">
      <c r="L151" t="s">
        <v>25</v>
      </c>
      <c r="N151" t="s">
        <v>25</v>
      </c>
      <c r="O151" t="s">
        <v>25</v>
      </c>
    </row>
    <row r="152" spans="9:16">
      <c r="P152" t="s">
        <v>25</v>
      </c>
    </row>
    <row r="153" spans="9:16">
      <c r="N153" t="s">
        <v>25</v>
      </c>
    </row>
    <row r="154" spans="9:16">
      <c r="N154" t="s">
        <v>25</v>
      </c>
      <c r="O154" t="s">
        <v>25</v>
      </c>
    </row>
    <row r="156" spans="9:16">
      <c r="N15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4598</v>
      </c>
      <c r="AA2" s="99" t="s">
        <v>4596</v>
      </c>
      <c r="AB2" s="99" t="s">
        <v>4597</v>
      </c>
      <c r="AC2" s="99" t="s">
        <v>4600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4599</v>
      </c>
      <c r="Z4" s="99">
        <v>1</v>
      </c>
      <c r="AA4" s="99">
        <v>1</v>
      </c>
      <c r="AB4" s="99">
        <f t="shared" si="0"/>
        <v>1</v>
      </c>
      <c r="AC4" s="99" t="s">
        <v>4601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4774</v>
      </c>
      <c r="B44" s="113">
        <v>-31000</v>
      </c>
      <c r="C44" s="99" t="s">
        <v>4784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4865</v>
      </c>
      <c r="B45" s="113">
        <v>2060725</v>
      </c>
      <c r="C45" s="99" t="s">
        <v>4868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4891</v>
      </c>
      <c r="B46" s="113">
        <v>-1073169</v>
      </c>
      <c r="C46" s="99" t="s">
        <v>4892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4883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4883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4896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4901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4902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4908</v>
      </c>
      <c r="B52" s="113">
        <v>-195330</v>
      </c>
      <c r="C52" s="99" t="s">
        <v>4914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4919</v>
      </c>
      <c r="B53" s="113">
        <v>-140730</v>
      </c>
      <c r="C53" s="99" t="s">
        <v>4923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4921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4921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4925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4829</v>
      </c>
      <c r="I46" s="11">
        <v>248200</v>
      </c>
      <c r="J46" s="11" t="s">
        <v>4839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D31" sqref="D31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4964</v>
      </c>
      <c r="B1" s="99" t="s">
        <v>4965</v>
      </c>
      <c r="C1" s="99" t="s">
        <v>4966</v>
      </c>
      <c r="D1" s="99" t="s">
        <v>4967</v>
      </c>
      <c r="E1" s="99" t="s">
        <v>4977</v>
      </c>
      <c r="F1" s="99" t="s">
        <v>4976</v>
      </c>
      <c r="G1" s="99"/>
      <c r="I1" t="s">
        <v>4969</v>
      </c>
      <c r="J1" t="s">
        <v>4973</v>
      </c>
      <c r="K1" t="s">
        <v>4974</v>
      </c>
    </row>
    <row r="2" spans="1:11">
      <c r="A2" s="99" t="s">
        <v>4968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4970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4971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4972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4968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4975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4972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4978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4979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4980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4981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4982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66.099131268496876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  <row r="28" spans="1:7">
      <c r="C28">
        <v>2.23E-2</v>
      </c>
      <c r="D28">
        <f>C28*12</f>
        <v>0.2676</v>
      </c>
    </row>
    <row r="29" spans="1:7">
      <c r="C29" t="s">
        <v>5040</v>
      </c>
      <c r="D29" t="s">
        <v>5039</v>
      </c>
    </row>
    <row r="30" spans="1:7">
      <c r="A30">
        <v>0</v>
      </c>
      <c r="B30" s="18">
        <v>150000000</v>
      </c>
      <c r="C30" s="18">
        <v>0</v>
      </c>
      <c r="D30" s="18">
        <f>B30-C30</f>
        <v>150000000</v>
      </c>
    </row>
    <row r="31" spans="1:7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7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7" sqref="D27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4598</v>
      </c>
      <c r="D1" t="s">
        <v>4945</v>
      </c>
      <c r="E1" t="s">
        <v>4946</v>
      </c>
      <c r="F1" t="s">
        <v>8</v>
      </c>
    </row>
    <row r="2" spans="1:6">
      <c r="A2" t="s">
        <v>4949</v>
      </c>
      <c r="B2">
        <v>237</v>
      </c>
      <c r="C2">
        <v>281</v>
      </c>
      <c r="D2">
        <f>B2/C2</f>
        <v>0.84341637010676151</v>
      </c>
      <c r="E2" t="s">
        <v>4950</v>
      </c>
      <c r="F2" t="s">
        <v>4951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4950</v>
      </c>
      <c r="F3" s="96" t="s">
        <v>4951</v>
      </c>
    </row>
    <row r="4" spans="1:6">
      <c r="A4" t="s">
        <v>4952</v>
      </c>
      <c r="B4">
        <v>195</v>
      </c>
      <c r="C4">
        <v>73</v>
      </c>
      <c r="D4" s="96">
        <f t="shared" si="0"/>
        <v>2.6712328767123288</v>
      </c>
      <c r="E4" t="s">
        <v>4953</v>
      </c>
      <c r="F4" t="s">
        <v>4954</v>
      </c>
    </row>
    <row r="5" spans="1:6">
      <c r="A5" t="s">
        <v>4955</v>
      </c>
      <c r="B5">
        <v>1</v>
      </c>
      <c r="C5">
        <v>1</v>
      </c>
      <c r="D5" s="96">
        <f t="shared" si="0"/>
        <v>1</v>
      </c>
      <c r="E5" t="s">
        <v>4953</v>
      </c>
      <c r="F5" t="s">
        <v>4956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4951</v>
      </c>
    </row>
    <row r="7" spans="1:6">
      <c r="A7" t="s">
        <v>4957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4958</v>
      </c>
      <c r="B8">
        <v>335</v>
      </c>
      <c r="C8">
        <v>141</v>
      </c>
      <c r="D8" s="96">
        <f t="shared" si="0"/>
        <v>2.375886524822695</v>
      </c>
      <c r="F8" s="96" t="s">
        <v>4956</v>
      </c>
    </row>
    <row r="9" spans="1:6">
      <c r="A9" t="s">
        <v>4828</v>
      </c>
      <c r="B9">
        <v>150</v>
      </c>
      <c r="C9">
        <v>240</v>
      </c>
      <c r="D9" s="96">
        <f t="shared" si="0"/>
        <v>0.625</v>
      </c>
      <c r="F9" t="s">
        <v>4959</v>
      </c>
    </row>
    <row r="10" spans="1:6">
      <c r="A10" t="s">
        <v>4960</v>
      </c>
      <c r="B10">
        <v>187</v>
      </c>
      <c r="C10">
        <v>208</v>
      </c>
      <c r="D10" s="96">
        <f t="shared" si="0"/>
        <v>0.89903846153846156</v>
      </c>
      <c r="F10" t="s">
        <v>4950</v>
      </c>
    </row>
    <row r="11" spans="1:6">
      <c r="A11" t="s">
        <v>4961</v>
      </c>
      <c r="B11">
        <v>412</v>
      </c>
      <c r="C11">
        <v>183</v>
      </c>
      <c r="D11" s="96">
        <f t="shared" si="0"/>
        <v>2.2513661202185791</v>
      </c>
      <c r="F11" s="96" t="s">
        <v>4956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4944</v>
      </c>
      <c r="B21">
        <v>113</v>
      </c>
      <c r="C21">
        <v>215</v>
      </c>
      <c r="D21" s="96">
        <f t="shared" si="0"/>
        <v>0.52558139534883719</v>
      </c>
      <c r="E21" t="s">
        <v>4947</v>
      </c>
      <c r="F21" t="s">
        <v>4948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D60" sqref="D60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45.570312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4883</v>
      </c>
      <c r="B4" s="18">
        <v>-960200</v>
      </c>
      <c r="C4" s="18">
        <v>0</v>
      </c>
      <c r="D4" s="113">
        <f t="shared" si="0"/>
        <v>-960200</v>
      </c>
      <c r="E4" s="99" t="s">
        <v>4887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4783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4783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4783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4843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4853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4860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4860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4910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4913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4983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4992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5038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>
        <v>-1170000</v>
      </c>
      <c r="E58" s="122" t="s">
        <v>5056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>
        <v>-800000</v>
      </c>
      <c r="E59" s="122" t="s">
        <v>5055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5281124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4590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4594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-77315</v>
      </c>
      <c r="C29" s="18">
        <v>0</v>
      </c>
      <c r="D29" s="113">
        <f t="shared" si="0"/>
        <v>-77315</v>
      </c>
      <c r="E29" s="19" t="s">
        <v>4624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-66850</v>
      </c>
      <c r="C30" s="18">
        <v>0</v>
      </c>
      <c r="D30" s="113">
        <f t="shared" si="0"/>
        <v>-66850</v>
      </c>
      <c r="E30" s="19" t="s">
        <v>4629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4626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4649</v>
      </c>
      <c r="B5" s="18">
        <v>-200000</v>
      </c>
      <c r="C5" s="18">
        <v>0</v>
      </c>
      <c r="D5" s="113">
        <f t="shared" si="0"/>
        <v>-200000</v>
      </c>
      <c r="E5" s="20" t="s">
        <v>4646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4665</v>
      </c>
      <c r="B10" s="18">
        <v>-51400</v>
      </c>
      <c r="C10" s="18">
        <v>0</v>
      </c>
      <c r="D10" s="113">
        <f t="shared" si="0"/>
        <v>-51400</v>
      </c>
      <c r="E10" s="19" t="s">
        <v>4672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4723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4716</v>
      </c>
      <c r="B22" s="18">
        <v>-324747</v>
      </c>
      <c r="C22" s="18">
        <v>0</v>
      </c>
      <c r="D22" s="113">
        <f t="shared" si="0"/>
        <v>-324747</v>
      </c>
      <c r="E22" s="19" t="s">
        <v>4724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4731</v>
      </c>
      <c r="B23" s="18">
        <v>-297992</v>
      </c>
      <c r="C23" s="18">
        <v>0</v>
      </c>
      <c r="D23" s="113">
        <f t="shared" si="0"/>
        <v>-297992</v>
      </c>
      <c r="E23" s="19" t="s">
        <v>4732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4740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4733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4753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4783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4783</v>
      </c>
      <c r="B6" s="18">
        <v>-1866154</v>
      </c>
      <c r="C6" s="18">
        <v>0</v>
      </c>
      <c r="D6" s="113">
        <f t="shared" si="0"/>
        <v>-1866154</v>
      </c>
      <c r="E6" s="19" t="s">
        <v>4792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4783</v>
      </c>
      <c r="B7" s="18">
        <v>-36600</v>
      </c>
      <c r="C7" s="18">
        <v>0</v>
      </c>
      <c r="D7" s="113">
        <f t="shared" si="0"/>
        <v>-36600</v>
      </c>
      <c r="E7" s="19" t="s">
        <v>4793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4794</v>
      </c>
      <c r="B8" s="18">
        <v>-492000</v>
      </c>
      <c r="C8" s="18">
        <v>0</v>
      </c>
      <c r="D8" s="113">
        <f t="shared" si="0"/>
        <v>-492000</v>
      </c>
      <c r="E8" s="19" t="s">
        <v>4795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4794</v>
      </c>
      <c r="B10" s="18">
        <v>-40000</v>
      </c>
      <c r="C10" s="18">
        <v>0</v>
      </c>
      <c r="D10" s="113">
        <f t="shared" si="0"/>
        <v>-40000</v>
      </c>
      <c r="E10" s="19" t="s">
        <v>4797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4798</v>
      </c>
      <c r="B11" s="18">
        <v>-66000</v>
      </c>
      <c r="C11" s="18">
        <v>0</v>
      </c>
      <c r="D11" s="113">
        <f t="shared" si="0"/>
        <v>-66000</v>
      </c>
      <c r="E11" s="19" t="s">
        <v>4797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4799</v>
      </c>
      <c r="B13" s="18">
        <v>-200500</v>
      </c>
      <c r="C13" s="18">
        <v>0</v>
      </c>
      <c r="D13" s="113">
        <f t="shared" si="0"/>
        <v>-200500</v>
      </c>
      <c r="E13" s="20" t="s">
        <v>4800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4804</v>
      </c>
      <c r="B14" s="18">
        <v>1563000</v>
      </c>
      <c r="C14" s="18">
        <v>0</v>
      </c>
      <c r="D14" s="113">
        <f t="shared" si="0"/>
        <v>1563000</v>
      </c>
      <c r="E14" s="20" t="s">
        <v>4809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4818</v>
      </c>
      <c r="B16" s="18">
        <v>-20000</v>
      </c>
      <c r="C16" s="18">
        <v>0</v>
      </c>
      <c r="D16" s="113">
        <f t="shared" si="0"/>
        <v>-20000</v>
      </c>
      <c r="E16" s="20" t="s">
        <v>4822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4833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4843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4853</v>
      </c>
      <c r="B20" s="18">
        <v>400000</v>
      </c>
      <c r="C20" s="18">
        <v>0</v>
      </c>
      <c r="D20" s="113">
        <f t="shared" si="0"/>
        <v>400000</v>
      </c>
      <c r="E20" s="19" t="s">
        <v>4855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4860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4860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4865</v>
      </c>
      <c r="B28" s="18">
        <v>433375</v>
      </c>
      <c r="C28" s="18">
        <v>0</v>
      </c>
      <c r="D28" s="113">
        <f t="shared" si="0"/>
        <v>433375</v>
      </c>
      <c r="E28" s="19" t="s">
        <v>4868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4874</v>
      </c>
      <c r="B30" s="18">
        <v>-300000</v>
      </c>
      <c r="C30" s="18">
        <v>0</v>
      </c>
      <c r="D30" s="113">
        <f t="shared" si="0"/>
        <v>-300000</v>
      </c>
      <c r="E30" s="19" t="s">
        <v>4877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4880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4751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4781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4792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4801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4802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4810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4813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4820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4847</v>
      </c>
      <c r="F69" s="96"/>
      <c r="G69" s="96"/>
      <c r="H69" s="96"/>
      <c r="I69" s="96"/>
    </row>
    <row r="70" spans="1:22">
      <c r="D70" s="18">
        <v>-400000</v>
      </c>
      <c r="E70" s="122" t="s">
        <v>4856</v>
      </c>
      <c r="G70" t="s">
        <v>25</v>
      </c>
    </row>
    <row r="71" spans="1:22">
      <c r="D71" s="18">
        <v>463200</v>
      </c>
      <c r="E71" s="122" t="s">
        <v>4858</v>
      </c>
    </row>
    <row r="72" spans="1:22">
      <c r="D72" s="18">
        <v>2000000</v>
      </c>
      <c r="E72" s="96" t="s">
        <v>4861</v>
      </c>
    </row>
    <row r="73" spans="1:22">
      <c r="D73" s="18">
        <v>-280000</v>
      </c>
      <c r="E73" t="s">
        <v>4862</v>
      </c>
    </row>
    <row r="74" spans="1:22">
      <c r="D74" s="18">
        <v>-200000</v>
      </c>
      <c r="E74" s="96" t="s">
        <v>4869</v>
      </c>
    </row>
    <row r="75" spans="1:22">
      <c r="D75" s="18">
        <v>-2000000</v>
      </c>
      <c r="E75" s="96" t="s">
        <v>4875</v>
      </c>
    </row>
    <row r="76" spans="1:22">
      <c r="D76" s="18">
        <v>92800</v>
      </c>
      <c r="E76" s="96" t="s">
        <v>4879</v>
      </c>
    </row>
    <row r="77" spans="1:22">
      <c r="D77" s="18">
        <v>1417727</v>
      </c>
      <c r="E77" s="96" t="s">
        <v>4880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4594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4594</v>
      </c>
      <c r="B285" s="18">
        <v>-3995000</v>
      </c>
      <c r="C285" s="18">
        <v>0</v>
      </c>
      <c r="D285" s="18">
        <f t="shared" si="18"/>
        <v>-3995000</v>
      </c>
      <c r="E285" s="99" t="s">
        <v>4595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4603</v>
      </c>
      <c r="B286" s="18">
        <v>-2010700</v>
      </c>
      <c r="C286" s="18">
        <v>0</v>
      </c>
      <c r="D286" s="18">
        <f t="shared" si="18"/>
        <v>-2010700</v>
      </c>
      <c r="E286" s="99" t="s">
        <v>4607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4617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4622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4626</v>
      </c>
      <c r="B293" s="18">
        <v>-96850</v>
      </c>
      <c r="C293" s="18">
        <v>0</v>
      </c>
      <c r="D293" s="18">
        <f t="shared" si="18"/>
        <v>-96850</v>
      </c>
      <c r="E293" s="99" t="s">
        <v>4630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4649</v>
      </c>
      <c r="B296" s="18">
        <v>-200000</v>
      </c>
      <c r="C296" s="18">
        <v>0</v>
      </c>
      <c r="D296" s="18">
        <f t="shared" si="18"/>
        <v>-200000</v>
      </c>
      <c r="E296" s="99" t="s">
        <v>4650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4665</v>
      </c>
      <c r="B301" s="18">
        <v>-51400</v>
      </c>
      <c r="C301" s="18">
        <v>0</v>
      </c>
      <c r="D301" s="18">
        <f t="shared" si="18"/>
        <v>-51400</v>
      </c>
      <c r="E301" s="99" t="s">
        <v>4672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4693</v>
      </c>
      <c r="B305" s="18">
        <v>-276773</v>
      </c>
      <c r="C305" s="18">
        <v>0</v>
      </c>
      <c r="D305" s="18">
        <f t="shared" si="18"/>
        <v>-276773</v>
      </c>
      <c r="E305" s="99" t="s">
        <v>4696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4723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4716</v>
      </c>
      <c r="B312" s="18">
        <v>-324747</v>
      </c>
      <c r="C312" s="18">
        <v>0</v>
      </c>
      <c r="D312" s="18">
        <f t="shared" si="18"/>
        <v>-324747</v>
      </c>
      <c r="E312" s="99" t="s">
        <v>4724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4731</v>
      </c>
      <c r="B313" s="18">
        <v>-297992</v>
      </c>
      <c r="C313" s="18">
        <v>0</v>
      </c>
      <c r="D313" s="18">
        <f t="shared" si="18"/>
        <v>-297992</v>
      </c>
      <c r="E313" s="99" t="s">
        <v>4732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4740</v>
      </c>
      <c r="B315" s="18">
        <v>-40000</v>
      </c>
      <c r="C315" s="18">
        <v>0</v>
      </c>
      <c r="D315" s="18">
        <f t="shared" si="18"/>
        <v>-40000</v>
      </c>
      <c r="E315" s="99" t="s">
        <v>4748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4753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4783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4783</v>
      </c>
      <c r="B319" s="18">
        <v>-1866154</v>
      </c>
      <c r="C319" s="18">
        <v>0</v>
      </c>
      <c r="D319" s="18">
        <f t="shared" si="18"/>
        <v>-1866154</v>
      </c>
      <c r="E319" s="19" t="s">
        <v>4792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4783</v>
      </c>
      <c r="B320" s="18">
        <v>-36600</v>
      </c>
      <c r="C320" s="18">
        <v>0</v>
      </c>
      <c r="D320" s="18">
        <f t="shared" si="18"/>
        <v>-36600</v>
      </c>
      <c r="E320" s="99" t="s">
        <v>4793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4794</v>
      </c>
      <c r="B321" s="18">
        <v>-492000</v>
      </c>
      <c r="C321" s="18">
        <v>0</v>
      </c>
      <c r="D321" s="18">
        <f t="shared" si="18"/>
        <v>-492000</v>
      </c>
      <c r="E321" s="99" t="s">
        <v>4795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4794</v>
      </c>
      <c r="B323" s="18">
        <v>-40000</v>
      </c>
      <c r="C323" s="18">
        <v>0</v>
      </c>
      <c r="D323" s="18">
        <f t="shared" si="18"/>
        <v>-40000</v>
      </c>
      <c r="E323" s="99" t="s">
        <v>4797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4798</v>
      </c>
      <c r="B324" s="18">
        <v>-66000</v>
      </c>
      <c r="C324" s="18">
        <v>0</v>
      </c>
      <c r="D324" s="18">
        <f t="shared" si="18"/>
        <v>-66000</v>
      </c>
      <c r="E324" s="99" t="s">
        <v>4797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4799</v>
      </c>
      <c r="B326" s="18">
        <v>-200500</v>
      </c>
      <c r="C326" s="18">
        <v>0</v>
      </c>
      <c r="D326" s="18">
        <f t="shared" si="18"/>
        <v>-200500</v>
      </c>
      <c r="E326" s="99" t="s">
        <v>4800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4804</v>
      </c>
      <c r="B327" s="18">
        <v>1563000</v>
      </c>
      <c r="C327" s="18">
        <v>0</v>
      </c>
      <c r="D327" s="18">
        <f t="shared" si="18"/>
        <v>1563000</v>
      </c>
      <c r="E327" s="99" t="s">
        <v>4809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4818</v>
      </c>
      <c r="B329" s="18">
        <v>-20000</v>
      </c>
      <c r="C329" s="18">
        <v>0</v>
      </c>
      <c r="D329" s="18">
        <f t="shared" si="18"/>
        <v>-20000</v>
      </c>
      <c r="E329" s="99" t="s">
        <v>4822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4833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4843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4853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4860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4860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4865</v>
      </c>
      <c r="B341" s="18">
        <v>433375</v>
      </c>
      <c r="C341" s="18">
        <v>0</v>
      </c>
      <c r="D341" s="18">
        <f t="shared" si="18"/>
        <v>433375</v>
      </c>
      <c r="E341" s="99" t="s">
        <v>4868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4874</v>
      </c>
      <c r="B343" s="18">
        <v>-300000</v>
      </c>
      <c r="C343" s="18">
        <v>0</v>
      </c>
      <c r="D343" s="18">
        <f t="shared" si="18"/>
        <v>-300000</v>
      </c>
      <c r="E343" s="99" t="s">
        <v>4877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4880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4883</v>
      </c>
      <c r="B347" s="18">
        <v>-960200</v>
      </c>
      <c r="C347" s="18">
        <v>0</v>
      </c>
      <c r="D347" s="18">
        <f t="shared" si="18"/>
        <v>-960200</v>
      </c>
      <c r="E347" s="99" t="s">
        <v>4887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4794</v>
      </c>
      <c r="B5" t="s">
        <v>4811</v>
      </c>
    </row>
    <row r="6" spans="1:3">
      <c r="A6" t="s">
        <v>4804</v>
      </c>
      <c r="B6" t="s">
        <v>4812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4736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4727</v>
      </c>
      <c r="B2" s="95">
        <v>10300</v>
      </c>
      <c r="C2" s="95">
        <v>0</v>
      </c>
      <c r="D2" s="99" t="s">
        <v>4737</v>
      </c>
      <c r="E2" s="96"/>
      <c r="F2" s="96"/>
      <c r="G2" s="96"/>
    </row>
    <row r="3" spans="1:7">
      <c r="A3" s="99" t="s">
        <v>4727</v>
      </c>
      <c r="B3" s="95">
        <v>0</v>
      </c>
      <c r="C3" s="95">
        <v>5500</v>
      </c>
      <c r="D3" s="99" t="s">
        <v>4738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4756</v>
      </c>
      <c r="B6" s="95">
        <v>0</v>
      </c>
      <c r="C6" s="95">
        <v>3000</v>
      </c>
      <c r="D6" s="99" t="s">
        <v>4760</v>
      </c>
      <c r="E6" s="96"/>
      <c r="F6" s="96"/>
      <c r="G6" s="96"/>
    </row>
    <row r="7" spans="1:7">
      <c r="A7" s="99" t="s">
        <v>4756</v>
      </c>
      <c r="B7" s="95">
        <v>9200</v>
      </c>
      <c r="C7" s="95">
        <v>0</v>
      </c>
      <c r="D7" s="99" t="s">
        <v>4737</v>
      </c>
      <c r="E7" s="96"/>
      <c r="F7" s="96"/>
      <c r="G7" s="96"/>
    </row>
    <row r="8" spans="1:7">
      <c r="A8" s="99" t="s">
        <v>4758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4766</v>
      </c>
      <c r="B10" s="95">
        <v>10200</v>
      </c>
      <c r="C10" s="95">
        <v>0</v>
      </c>
      <c r="D10" s="99" t="s">
        <v>4737</v>
      </c>
      <c r="E10" s="96"/>
      <c r="F10" s="96"/>
      <c r="G10" s="96"/>
    </row>
    <row r="11" spans="1:7">
      <c r="A11" s="99" t="s">
        <v>4783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4803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4818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4737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4840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4843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4853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4853</v>
      </c>
      <c r="B22" s="95">
        <v>9600</v>
      </c>
      <c r="C22" s="95">
        <v>0</v>
      </c>
      <c r="D22" s="99" t="s">
        <v>4737</v>
      </c>
      <c r="E22" s="96"/>
      <c r="F22" s="96"/>
      <c r="G22" s="96"/>
      <c r="I22" t="s">
        <v>25</v>
      </c>
    </row>
    <row r="23" spans="1:9">
      <c r="A23" s="99" t="s">
        <v>4860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4874</v>
      </c>
      <c r="B25" s="95">
        <v>0</v>
      </c>
      <c r="C25" s="95">
        <v>1000</v>
      </c>
      <c r="D25" s="99" t="s">
        <v>315</v>
      </c>
    </row>
    <row r="26" spans="1:9">
      <c r="A26" s="99" t="s">
        <v>4907</v>
      </c>
      <c r="B26" s="95">
        <v>0</v>
      </c>
      <c r="C26" s="95">
        <v>12000</v>
      </c>
      <c r="D26" s="99" t="s">
        <v>4918</v>
      </c>
    </row>
    <row r="27" spans="1:9">
      <c r="A27" s="99" t="s">
        <v>4908</v>
      </c>
      <c r="B27" s="95">
        <v>0</v>
      </c>
      <c r="C27" s="95">
        <v>1000</v>
      </c>
      <c r="D27" s="99" t="s">
        <v>315</v>
      </c>
    </row>
    <row r="28" spans="1:9">
      <c r="A28" s="99" t="s">
        <v>4919</v>
      </c>
      <c r="B28" s="95">
        <v>0</v>
      </c>
      <c r="C28" s="95">
        <v>1000</v>
      </c>
      <c r="D28" s="99" t="s">
        <v>315</v>
      </c>
    </row>
    <row r="29" spans="1:9">
      <c r="A29" s="99" t="s">
        <v>4921</v>
      </c>
      <c r="B29" s="95">
        <v>0</v>
      </c>
      <c r="C29" s="95">
        <v>1000</v>
      </c>
      <c r="D29" s="99" t="s">
        <v>315</v>
      </c>
    </row>
    <row r="30" spans="1:9">
      <c r="A30" s="99" t="s">
        <v>4922</v>
      </c>
      <c r="B30" s="95">
        <v>0</v>
      </c>
      <c r="C30" s="95">
        <v>5500</v>
      </c>
      <c r="D30" s="99" t="s">
        <v>4738</v>
      </c>
    </row>
    <row r="31" spans="1:9">
      <c r="A31" s="99" t="s">
        <v>4922</v>
      </c>
      <c r="B31" s="95">
        <v>11000</v>
      </c>
      <c r="C31" s="95">
        <v>0</v>
      </c>
      <c r="D31" s="99" t="s">
        <v>4737</v>
      </c>
    </row>
    <row r="32" spans="1:9">
      <c r="A32" s="99" t="s">
        <v>4930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4933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4935</v>
      </c>
      <c r="B34" s="95">
        <v>0</v>
      </c>
      <c r="C34" s="95">
        <v>1000</v>
      </c>
      <c r="D34" s="99" t="s">
        <v>315</v>
      </c>
    </row>
    <row r="35" spans="1:10">
      <c r="A35" s="99" t="s">
        <v>4936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4941</v>
      </c>
      <c r="B36" s="95">
        <v>1000</v>
      </c>
      <c r="C36" s="95">
        <v>0</v>
      </c>
      <c r="D36" s="99" t="s">
        <v>315</v>
      </c>
    </row>
    <row r="37" spans="1:10">
      <c r="A37" s="99" t="s">
        <v>4941</v>
      </c>
      <c r="B37" s="95">
        <v>0</v>
      </c>
      <c r="C37" s="95">
        <v>11200</v>
      </c>
      <c r="D37" s="99" t="s">
        <v>4737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4758</v>
      </c>
      <c r="B48" s="225">
        <v>6700</v>
      </c>
      <c r="C48" s="225">
        <v>0</v>
      </c>
      <c r="D48" s="23" t="s">
        <v>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4740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4744</v>
      </c>
      <c r="B75" s="113">
        <v>-20000</v>
      </c>
      <c r="C75" s="99" t="s">
        <v>4749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7" activePane="bottomLeft" state="frozen"/>
      <selection pane="bottomLeft" activeCell="B295" sqref="B29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50.1406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1089</v>
      </c>
      <c r="E2" s="11">
        <f>IF(B2&gt;0,1,0)</f>
        <v>1</v>
      </c>
      <c r="F2" s="11">
        <f>B2*(D2-E2)</f>
        <v>105209600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1087</v>
      </c>
      <c r="E3" s="11">
        <f t="shared" ref="E3:E66" si="1">IF(B3&gt;0,1,0)</f>
        <v>1</v>
      </c>
      <c r="F3" s="11">
        <f t="shared" ref="F3:F66" si="2">B3*(D3-E3)</f>
        <v>3258000000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1084</v>
      </c>
      <c r="E4" s="11">
        <f t="shared" si="1"/>
        <v>0</v>
      </c>
      <c r="F4" s="11">
        <f t="shared" si="2"/>
        <v>-216800000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1082</v>
      </c>
      <c r="E5" s="11">
        <f t="shared" si="1"/>
        <v>0</v>
      </c>
      <c r="F5" s="11">
        <f t="shared" si="2"/>
        <v>-108200000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1081</v>
      </c>
      <c r="E6" s="11">
        <f t="shared" si="1"/>
        <v>0</v>
      </c>
      <c r="F6" s="11">
        <f t="shared" si="2"/>
        <v>-59455000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1080</v>
      </c>
      <c r="E7" s="11">
        <f t="shared" si="1"/>
        <v>0</v>
      </c>
      <c r="F7" s="11">
        <f t="shared" si="2"/>
        <v>-216000000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1076</v>
      </c>
      <c r="E8" s="11">
        <f t="shared" si="1"/>
        <v>0</v>
      </c>
      <c r="F8" s="11">
        <f t="shared" si="2"/>
        <v>-215200000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1066</v>
      </c>
      <c r="E9" s="11">
        <f t="shared" si="1"/>
        <v>0</v>
      </c>
      <c r="F9" s="11">
        <f t="shared" si="2"/>
        <v>-1013233000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1065</v>
      </c>
      <c r="E10" s="11">
        <f t="shared" si="1"/>
        <v>1</v>
      </c>
      <c r="F10" s="11">
        <f t="shared" si="2"/>
        <v>2128000000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1063</v>
      </c>
      <c r="E11" s="11">
        <f t="shared" si="1"/>
        <v>0</v>
      </c>
      <c r="F11" s="11">
        <f t="shared" si="2"/>
        <v>-1132095000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1060</v>
      </c>
      <c r="E12" s="11">
        <f t="shared" si="1"/>
        <v>0</v>
      </c>
      <c r="F12" s="11">
        <f t="shared" si="2"/>
        <v>-47700000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1059</v>
      </c>
      <c r="E13" s="11">
        <f t="shared" si="1"/>
        <v>0</v>
      </c>
      <c r="F13" s="11">
        <f t="shared" si="2"/>
        <v>-2118741300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1055</v>
      </c>
      <c r="E14" s="11">
        <f t="shared" si="1"/>
        <v>0</v>
      </c>
      <c r="F14" s="11">
        <f t="shared" si="2"/>
        <v>-211000000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1053</v>
      </c>
      <c r="E15" s="11">
        <f t="shared" si="1"/>
        <v>1</v>
      </c>
      <c r="F15" s="11">
        <f t="shared" si="2"/>
        <v>2104000000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1053</v>
      </c>
      <c r="E16" s="11">
        <f t="shared" si="1"/>
        <v>1</v>
      </c>
      <c r="F16" s="11">
        <f t="shared" si="2"/>
        <v>2104000000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1053</v>
      </c>
      <c r="E17" s="11">
        <f t="shared" si="1"/>
        <v>1</v>
      </c>
      <c r="F17" s="11">
        <f t="shared" si="2"/>
        <v>1262400000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1053</v>
      </c>
      <c r="E18" s="11">
        <f t="shared" si="1"/>
        <v>1</v>
      </c>
      <c r="F18" s="11">
        <f t="shared" si="2"/>
        <v>1052000000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1052</v>
      </c>
      <c r="E19" s="11">
        <f t="shared" si="1"/>
        <v>1</v>
      </c>
      <c r="F19" s="11">
        <f t="shared" si="2"/>
        <v>3153000000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1052</v>
      </c>
      <c r="E20" s="11">
        <f t="shared" si="1"/>
        <v>0</v>
      </c>
      <c r="F20" s="11">
        <f t="shared" si="2"/>
        <v>-455200400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1052</v>
      </c>
      <c r="E21" s="11">
        <f t="shared" si="1"/>
        <v>0</v>
      </c>
      <c r="F21" s="11">
        <f t="shared" si="2"/>
        <v>-455200400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1052</v>
      </c>
      <c r="E22" s="11">
        <f t="shared" si="1"/>
        <v>0</v>
      </c>
      <c r="F22" s="11">
        <f t="shared" si="2"/>
        <v>-455200400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1052</v>
      </c>
      <c r="E23" s="11">
        <f t="shared" si="1"/>
        <v>0</v>
      </c>
      <c r="F23" s="11">
        <f t="shared" si="2"/>
        <v>-455200400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1052</v>
      </c>
      <c r="E24" s="11">
        <f t="shared" si="1"/>
        <v>0</v>
      </c>
      <c r="F24" s="11">
        <f t="shared" si="2"/>
        <v>-455200400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1052</v>
      </c>
      <c r="E25" s="11">
        <f t="shared" si="1"/>
        <v>0</v>
      </c>
      <c r="F25" s="11">
        <f t="shared" si="2"/>
        <v>-210400000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1051</v>
      </c>
      <c r="E26" s="11">
        <f t="shared" si="1"/>
        <v>1</v>
      </c>
      <c r="F26" s="11">
        <f t="shared" si="2"/>
        <v>3150000000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1049</v>
      </c>
      <c r="E27" s="11">
        <f t="shared" si="1"/>
        <v>0</v>
      </c>
      <c r="F27" s="11">
        <f t="shared" si="2"/>
        <v>-209800000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1048</v>
      </c>
      <c r="E28" s="11">
        <f t="shared" si="1"/>
        <v>1</v>
      </c>
      <c r="F28" s="11">
        <f t="shared" si="2"/>
        <v>2094000000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1047</v>
      </c>
      <c r="E29" s="11">
        <f t="shared" si="1"/>
        <v>0</v>
      </c>
      <c r="F29" s="11">
        <f t="shared" si="2"/>
        <v>-7329837600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1046</v>
      </c>
      <c r="E30" s="11">
        <f t="shared" si="1"/>
        <v>0</v>
      </c>
      <c r="F30" s="11">
        <f t="shared" si="2"/>
        <v>-3138941400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1045</v>
      </c>
      <c r="E31" s="11">
        <f t="shared" si="1"/>
        <v>0</v>
      </c>
      <c r="F31" s="11">
        <f t="shared" si="2"/>
        <v>-1772215500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1042</v>
      </c>
      <c r="E32" s="11">
        <f t="shared" si="1"/>
        <v>1</v>
      </c>
      <c r="F32" s="11">
        <f t="shared" si="2"/>
        <v>1035066300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1036</v>
      </c>
      <c r="E33" s="11">
        <f t="shared" si="1"/>
        <v>1</v>
      </c>
      <c r="F33" s="11">
        <f t="shared" si="2"/>
        <v>36319185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1035</v>
      </c>
      <c r="E34" s="11">
        <f t="shared" si="1"/>
        <v>0</v>
      </c>
      <c r="F34" s="11">
        <f t="shared" si="2"/>
        <v>-879750000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1027</v>
      </c>
      <c r="E35" s="11">
        <f t="shared" si="1"/>
        <v>0</v>
      </c>
      <c r="F35" s="11">
        <f t="shared" si="2"/>
        <v>-195643500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1026</v>
      </c>
      <c r="E36" s="11">
        <f t="shared" si="1"/>
        <v>1</v>
      </c>
      <c r="F36" s="11">
        <f t="shared" si="2"/>
        <v>205000000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1026</v>
      </c>
      <c r="E37" s="11">
        <f t="shared" si="1"/>
        <v>0</v>
      </c>
      <c r="F37" s="11">
        <f t="shared" si="2"/>
        <v>-205200000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1004</v>
      </c>
      <c r="E38" s="11">
        <f t="shared" si="1"/>
        <v>1</v>
      </c>
      <c r="F38" s="11">
        <f t="shared" si="2"/>
        <v>301708418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1003</v>
      </c>
      <c r="E39" s="11">
        <f t="shared" si="1"/>
        <v>0</v>
      </c>
      <c r="F39" s="11">
        <f t="shared" si="2"/>
        <v>-95285000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1003</v>
      </c>
      <c r="E40" s="11">
        <f t="shared" si="1"/>
        <v>0</v>
      </c>
      <c r="F40" s="11">
        <f t="shared" si="2"/>
        <v>-88367309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998</v>
      </c>
      <c r="E41" s="11">
        <f t="shared" si="1"/>
        <v>0</v>
      </c>
      <c r="F41" s="11">
        <f t="shared" si="2"/>
        <v>-119760000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976</v>
      </c>
      <c r="E42" s="11">
        <f t="shared" si="1"/>
        <v>1</v>
      </c>
      <c r="F42" s="11">
        <f t="shared" si="2"/>
        <v>975198900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972</v>
      </c>
      <c r="E43" s="11">
        <f t="shared" si="1"/>
        <v>0</v>
      </c>
      <c r="F43" s="11">
        <f t="shared" si="2"/>
        <v>-77760000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968</v>
      </c>
      <c r="E44" s="11">
        <f t="shared" si="1"/>
        <v>0</v>
      </c>
      <c r="F44" s="11">
        <f t="shared" si="2"/>
        <v>-204276072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967</v>
      </c>
      <c r="E45" s="11">
        <f t="shared" si="1"/>
        <v>0</v>
      </c>
      <c r="F45" s="11">
        <f t="shared" si="2"/>
        <v>-193400000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966</v>
      </c>
      <c r="E46" s="11">
        <f t="shared" si="1"/>
        <v>0</v>
      </c>
      <c r="F46" s="11">
        <f t="shared" si="2"/>
        <v>-91770000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964</v>
      </c>
      <c r="E47" s="11">
        <f t="shared" si="1"/>
        <v>0</v>
      </c>
      <c r="F47" s="11">
        <f t="shared" si="2"/>
        <v>-43380000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964</v>
      </c>
      <c r="E48" s="11">
        <f t="shared" si="1"/>
        <v>0</v>
      </c>
      <c r="F48" s="11">
        <f t="shared" si="2"/>
        <v>-61869520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961</v>
      </c>
      <c r="E49" s="11">
        <f t="shared" si="1"/>
        <v>0</v>
      </c>
      <c r="F49" s="11">
        <f t="shared" si="2"/>
        <v>-26412124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960</v>
      </c>
      <c r="E50" s="11">
        <f t="shared" si="1"/>
        <v>0</v>
      </c>
      <c r="F50" s="11">
        <f t="shared" si="2"/>
        <v>-135360000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960</v>
      </c>
      <c r="E51" s="11">
        <f t="shared" si="1"/>
        <v>0</v>
      </c>
      <c r="F51" s="11">
        <f t="shared" si="2"/>
        <v>-25676160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959</v>
      </c>
      <c r="E52" s="11">
        <f t="shared" si="1"/>
        <v>0</v>
      </c>
      <c r="F52" s="11">
        <f t="shared" si="2"/>
        <v>-51114700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958</v>
      </c>
      <c r="E53" s="11">
        <f t="shared" si="1"/>
        <v>1</v>
      </c>
      <c r="F53" s="11">
        <f t="shared" si="2"/>
        <v>957000000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952</v>
      </c>
      <c r="E54" s="11">
        <f t="shared" si="1"/>
        <v>0</v>
      </c>
      <c r="F54" s="11">
        <f t="shared" si="2"/>
        <v>-19992000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951</v>
      </c>
      <c r="E55" s="11">
        <f t="shared" si="1"/>
        <v>0</v>
      </c>
      <c r="F55" s="11">
        <f t="shared" si="2"/>
        <v>-932455500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951</v>
      </c>
      <c r="E56" s="11">
        <f t="shared" si="1"/>
        <v>0</v>
      </c>
      <c r="F56" s="11">
        <f t="shared" si="2"/>
        <v>-42795000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938</v>
      </c>
      <c r="E57" s="11">
        <f t="shared" si="1"/>
        <v>1</v>
      </c>
      <c r="F57" s="11">
        <f t="shared" si="2"/>
        <v>2815862093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938</v>
      </c>
      <c r="E58" s="11">
        <f t="shared" si="1"/>
        <v>1</v>
      </c>
      <c r="F58" s="11">
        <f t="shared" si="2"/>
        <v>1874000000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937</v>
      </c>
      <c r="E59" s="11">
        <f t="shared" si="1"/>
        <v>1</v>
      </c>
      <c r="F59" s="11">
        <f t="shared" si="2"/>
        <v>1872000000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937</v>
      </c>
      <c r="E60" s="11">
        <f t="shared" si="1"/>
        <v>0</v>
      </c>
      <c r="F60" s="11">
        <f t="shared" si="2"/>
        <v>-6560405500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913</v>
      </c>
      <c r="E61" s="11">
        <f t="shared" si="1"/>
        <v>1</v>
      </c>
      <c r="F61" s="11">
        <f t="shared" si="2"/>
        <v>2736000000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912</v>
      </c>
      <c r="E62" s="11">
        <f t="shared" si="1"/>
        <v>0</v>
      </c>
      <c r="F62" s="11">
        <f t="shared" si="2"/>
        <v>-24723408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912</v>
      </c>
      <c r="E63" s="11">
        <f t="shared" si="1"/>
        <v>0</v>
      </c>
      <c r="F63" s="11">
        <f t="shared" si="2"/>
        <v>-30085968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912</v>
      </c>
      <c r="E64" s="11">
        <f t="shared" si="1"/>
        <v>1</v>
      </c>
      <c r="F64" s="11">
        <f t="shared" si="2"/>
        <v>2733000000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912</v>
      </c>
      <c r="E65" s="11">
        <f t="shared" si="1"/>
        <v>1</v>
      </c>
      <c r="F65" s="11">
        <f t="shared" si="2"/>
        <v>2705670000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912</v>
      </c>
      <c r="E66" s="11">
        <f t="shared" si="1"/>
        <v>1</v>
      </c>
      <c r="F66" s="11">
        <f t="shared" si="2"/>
        <v>911000000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912</v>
      </c>
      <c r="E67" s="11">
        <f t="shared" ref="E67:E130" si="4">IF(B67&gt;0,1,0)</f>
        <v>1</v>
      </c>
      <c r="F67" s="11">
        <f t="shared" ref="F67:F248" si="5">B67*(D67-E67)</f>
        <v>27330000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911</v>
      </c>
      <c r="E68" s="11">
        <f t="shared" si="4"/>
        <v>1</v>
      </c>
      <c r="F68" s="11">
        <f t="shared" si="5"/>
        <v>27300000000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910</v>
      </c>
      <c r="E69" s="11">
        <f t="shared" si="4"/>
        <v>0</v>
      </c>
      <c r="F69" s="11">
        <f t="shared" si="5"/>
        <v>-182000000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910</v>
      </c>
      <c r="E70" s="11">
        <f t="shared" si="4"/>
        <v>1</v>
      </c>
      <c r="F70" s="11">
        <f t="shared" si="5"/>
        <v>1272600000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910</v>
      </c>
      <c r="E71" s="11">
        <f t="shared" si="4"/>
        <v>1</v>
      </c>
      <c r="F71" s="11">
        <f t="shared" si="5"/>
        <v>2363400000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910</v>
      </c>
      <c r="E72" s="11">
        <f t="shared" si="4"/>
        <v>0</v>
      </c>
      <c r="F72" s="11">
        <f t="shared" si="5"/>
        <v>-910000000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908</v>
      </c>
      <c r="E73" s="11">
        <f t="shared" si="4"/>
        <v>1</v>
      </c>
      <c r="F73" s="11">
        <f t="shared" si="5"/>
        <v>13605000000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903</v>
      </c>
      <c r="E74" s="11">
        <f t="shared" si="4"/>
        <v>0</v>
      </c>
      <c r="F74" s="11">
        <f t="shared" si="5"/>
        <v>-13548792600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901</v>
      </c>
      <c r="E75" s="11">
        <f t="shared" si="4"/>
        <v>0</v>
      </c>
      <c r="F75" s="11">
        <f t="shared" si="5"/>
        <v>-2703000000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901</v>
      </c>
      <c r="E76" s="11">
        <f t="shared" si="4"/>
        <v>0</v>
      </c>
      <c r="F76" s="11">
        <f t="shared" si="5"/>
        <v>-180200000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901</v>
      </c>
      <c r="E77" s="11">
        <f t="shared" si="4"/>
        <v>0</v>
      </c>
      <c r="F77" s="11">
        <f t="shared" si="5"/>
        <v>-10814703000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897</v>
      </c>
      <c r="E78" s="11">
        <f t="shared" si="4"/>
        <v>0</v>
      </c>
      <c r="F78" s="11">
        <f t="shared" si="5"/>
        <v>-2691807300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892</v>
      </c>
      <c r="E79" s="11">
        <f t="shared" si="4"/>
        <v>1</v>
      </c>
      <c r="F79" s="11">
        <f t="shared" si="5"/>
        <v>20493000000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887</v>
      </c>
      <c r="E80" s="11">
        <f t="shared" si="4"/>
        <v>0</v>
      </c>
      <c r="F80" s="11">
        <f t="shared" si="5"/>
        <v>-532643500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887</v>
      </c>
      <c r="E81" s="11">
        <f t="shared" si="4"/>
        <v>0</v>
      </c>
      <c r="F81" s="11">
        <f t="shared" si="5"/>
        <v>-177400000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886</v>
      </c>
      <c r="E82" s="11">
        <f t="shared" si="4"/>
        <v>1</v>
      </c>
      <c r="F82" s="11">
        <f t="shared" si="5"/>
        <v>250650585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886</v>
      </c>
      <c r="E83" s="11">
        <f t="shared" si="4"/>
        <v>0</v>
      </c>
      <c r="F83" s="11">
        <f t="shared" si="5"/>
        <v>-177200000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884</v>
      </c>
      <c r="E84" s="11">
        <f t="shared" si="4"/>
        <v>1</v>
      </c>
      <c r="F84" s="11">
        <f t="shared" si="5"/>
        <v>1766000000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881</v>
      </c>
      <c r="E85" s="11">
        <f t="shared" si="4"/>
        <v>0</v>
      </c>
      <c r="F85" s="11">
        <f t="shared" si="5"/>
        <v>-176200000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875</v>
      </c>
      <c r="E86" s="11">
        <f t="shared" si="4"/>
        <v>0</v>
      </c>
      <c r="F86" s="11">
        <f t="shared" si="5"/>
        <v>-175000000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873</v>
      </c>
      <c r="E87" s="11">
        <f t="shared" si="4"/>
        <v>0</v>
      </c>
      <c r="F87" s="11">
        <f t="shared" si="5"/>
        <v>-1156725000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858</v>
      </c>
      <c r="E88" s="11">
        <f t="shared" si="4"/>
        <v>0</v>
      </c>
      <c r="F88" s="11">
        <f t="shared" si="5"/>
        <v>-429000000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858</v>
      </c>
      <c r="E89" s="11">
        <f t="shared" si="4"/>
        <v>0</v>
      </c>
      <c r="F89" s="11">
        <f t="shared" si="5"/>
        <v>-102960000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856</v>
      </c>
      <c r="E90" s="11">
        <f t="shared" si="4"/>
        <v>1</v>
      </c>
      <c r="F90" s="11">
        <f t="shared" si="5"/>
        <v>366115275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853</v>
      </c>
      <c r="E91" s="11">
        <f t="shared" si="4"/>
        <v>0</v>
      </c>
      <c r="F91" s="11">
        <f t="shared" si="5"/>
        <v>-2560706000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851</v>
      </c>
      <c r="E92" s="11">
        <f t="shared" si="4"/>
        <v>0</v>
      </c>
      <c r="F92" s="11">
        <f t="shared" si="5"/>
        <v>-174455000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851</v>
      </c>
      <c r="E93" s="11">
        <f t="shared" si="4"/>
        <v>0</v>
      </c>
      <c r="F93" s="11">
        <f t="shared" si="5"/>
        <v>-298275500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840</v>
      </c>
      <c r="E94" s="11">
        <f t="shared" si="4"/>
        <v>1</v>
      </c>
      <c r="F94" s="11">
        <f t="shared" si="5"/>
        <v>839000000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835</v>
      </c>
      <c r="E95" s="11">
        <f t="shared" si="4"/>
        <v>1</v>
      </c>
      <c r="F95" s="11">
        <f t="shared" si="5"/>
        <v>7506000000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833</v>
      </c>
      <c r="E96" s="11">
        <f t="shared" si="4"/>
        <v>0</v>
      </c>
      <c r="F96" s="11">
        <f t="shared" si="5"/>
        <v>-21658000000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833</v>
      </c>
      <c r="E97" s="11">
        <f t="shared" si="4"/>
        <v>0</v>
      </c>
      <c r="F97" s="11">
        <f t="shared" si="5"/>
        <v>-21658000000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833</v>
      </c>
      <c r="E98" s="11">
        <f t="shared" si="4"/>
        <v>1</v>
      </c>
      <c r="F98" s="11">
        <f t="shared" si="5"/>
        <v>21632000000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833</v>
      </c>
      <c r="E99" s="11">
        <f t="shared" si="4"/>
        <v>0</v>
      </c>
      <c r="F99" s="11">
        <f t="shared" si="5"/>
        <v>-166600000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831</v>
      </c>
      <c r="E100" s="11">
        <f t="shared" si="4"/>
        <v>1</v>
      </c>
      <c r="F100" s="11">
        <f t="shared" si="5"/>
        <v>24236000000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826</v>
      </c>
      <c r="E101" s="11">
        <f t="shared" si="4"/>
        <v>1</v>
      </c>
      <c r="F101" s="11">
        <f t="shared" si="5"/>
        <v>329954625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825</v>
      </c>
      <c r="E102" s="11">
        <f t="shared" si="4"/>
        <v>1</v>
      </c>
      <c r="F102" s="11">
        <f t="shared" si="5"/>
        <v>1648000000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824</v>
      </c>
      <c r="E103" s="11">
        <f t="shared" si="4"/>
        <v>1</v>
      </c>
      <c r="F103" s="11">
        <f t="shared" si="5"/>
        <v>6172500000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824</v>
      </c>
      <c r="E104" s="11">
        <f t="shared" si="4"/>
        <v>0</v>
      </c>
      <c r="F104" s="11">
        <f t="shared" si="5"/>
        <v>-54384000000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824</v>
      </c>
      <c r="E105" s="11">
        <f t="shared" si="4"/>
        <v>0</v>
      </c>
      <c r="F105" s="11">
        <f t="shared" si="5"/>
        <v>-119480000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822</v>
      </c>
      <c r="E106" s="11">
        <f t="shared" si="4"/>
        <v>1</v>
      </c>
      <c r="F106" s="11">
        <f t="shared" si="5"/>
        <v>4926000000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820</v>
      </c>
      <c r="E107" s="11">
        <f t="shared" si="4"/>
        <v>0</v>
      </c>
      <c r="F107" s="11">
        <f t="shared" si="5"/>
        <v>-4924838000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817</v>
      </c>
      <c r="E108" s="11">
        <f t="shared" si="4"/>
        <v>1</v>
      </c>
      <c r="F108" s="11">
        <f t="shared" si="5"/>
        <v>4896000000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805</v>
      </c>
      <c r="E109" s="11">
        <f t="shared" si="4"/>
        <v>0</v>
      </c>
      <c r="F109" s="11">
        <f t="shared" si="5"/>
        <v>-96600000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804</v>
      </c>
      <c r="E110" s="11">
        <f t="shared" si="4"/>
        <v>1</v>
      </c>
      <c r="F110" s="11">
        <f t="shared" si="5"/>
        <v>3212000000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803</v>
      </c>
      <c r="E111" s="11">
        <f t="shared" si="4"/>
        <v>1</v>
      </c>
      <c r="F111" s="11">
        <f t="shared" si="5"/>
        <v>2245600000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799</v>
      </c>
      <c r="E112" s="11">
        <f t="shared" si="4"/>
        <v>0</v>
      </c>
      <c r="F112" s="11">
        <f t="shared" si="5"/>
        <v>-159800000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798</v>
      </c>
      <c r="E113" s="11">
        <f t="shared" si="4"/>
        <v>1</v>
      </c>
      <c r="F113" s="11">
        <f t="shared" si="5"/>
        <v>57631070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781</v>
      </c>
      <c r="E114" s="11">
        <f t="shared" si="4"/>
        <v>0</v>
      </c>
      <c r="F114" s="11">
        <f t="shared" si="5"/>
        <v>-156200000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780</v>
      </c>
      <c r="E115" s="11">
        <f t="shared" si="4"/>
        <v>0</v>
      </c>
      <c r="F115" s="23">
        <f t="shared" si="5"/>
        <v>-8580000000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780</v>
      </c>
      <c r="E116" s="11">
        <f t="shared" si="4"/>
        <v>0</v>
      </c>
      <c r="F116" s="11">
        <f t="shared" si="5"/>
        <v>-156000000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778</v>
      </c>
      <c r="E117" s="11">
        <f t="shared" si="4"/>
        <v>0</v>
      </c>
      <c r="F117" s="11">
        <f t="shared" si="5"/>
        <v>-350489000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778</v>
      </c>
      <c r="E118" s="11">
        <f t="shared" si="4"/>
        <v>0</v>
      </c>
      <c r="F118" s="11">
        <f t="shared" si="5"/>
        <v>-155600000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772</v>
      </c>
      <c r="E119" s="11">
        <f t="shared" si="4"/>
        <v>0</v>
      </c>
      <c r="F119" s="11">
        <f t="shared" si="5"/>
        <v>-119312600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772</v>
      </c>
      <c r="E120" s="11">
        <f t="shared" si="4"/>
        <v>0</v>
      </c>
      <c r="F120" s="11">
        <f t="shared" si="5"/>
        <v>-247040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771</v>
      </c>
      <c r="E121" s="11">
        <f t="shared" si="4"/>
        <v>0</v>
      </c>
      <c r="F121" s="11">
        <f t="shared" si="5"/>
        <v>-333072000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765</v>
      </c>
      <c r="E122" s="11">
        <f t="shared" si="4"/>
        <v>1</v>
      </c>
      <c r="F122" s="11">
        <f t="shared" si="5"/>
        <v>56568852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744</v>
      </c>
      <c r="E123" s="11">
        <f t="shared" si="4"/>
        <v>0</v>
      </c>
      <c r="F123" s="11">
        <f t="shared" si="5"/>
        <v>-38688000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703</v>
      </c>
      <c r="E124" s="11">
        <f t="shared" si="4"/>
        <v>1</v>
      </c>
      <c r="F124" s="11">
        <f t="shared" si="5"/>
        <v>833274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702</v>
      </c>
      <c r="E125" s="11">
        <f t="shared" si="4"/>
        <v>1</v>
      </c>
      <c r="F125" s="11">
        <f t="shared" si="5"/>
        <v>1682400000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700</v>
      </c>
      <c r="E126" s="11">
        <f t="shared" si="4"/>
        <v>1</v>
      </c>
      <c r="F126" s="11">
        <f t="shared" si="5"/>
        <v>938617200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700</v>
      </c>
      <c r="E127" s="11">
        <f t="shared" si="4"/>
        <v>1</v>
      </c>
      <c r="F127" s="11">
        <f t="shared" si="5"/>
        <v>938617200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688</v>
      </c>
      <c r="E128" s="11">
        <f t="shared" si="4"/>
        <v>0</v>
      </c>
      <c r="F128" s="11">
        <f t="shared" si="5"/>
        <v>-137600000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686</v>
      </c>
      <c r="E129" s="11">
        <f t="shared" si="4"/>
        <v>0</v>
      </c>
      <c r="F129" s="11">
        <f>B129*(D129-E129)</f>
        <v>-10713948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685</v>
      </c>
      <c r="E130" s="11">
        <f t="shared" si="4"/>
        <v>0</v>
      </c>
      <c r="F130" s="11">
        <f t="shared" si="5"/>
        <v>-137000000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684</v>
      </c>
      <c r="E131" s="11">
        <f t="shared" ref="E131:E248" si="7">IF(B131&gt;0,1,0)</f>
        <v>0</v>
      </c>
      <c r="F131" s="11">
        <f t="shared" si="5"/>
        <v>-136800000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683</v>
      </c>
      <c r="E132" s="11">
        <f t="shared" si="7"/>
        <v>0</v>
      </c>
      <c r="F132" s="11">
        <f t="shared" si="5"/>
        <v>-266370000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683</v>
      </c>
      <c r="E133" s="11">
        <f t="shared" si="7"/>
        <v>0</v>
      </c>
      <c r="F133" s="11">
        <f t="shared" si="5"/>
        <v>-16733500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682</v>
      </c>
      <c r="E134" s="11">
        <f t="shared" si="7"/>
        <v>0</v>
      </c>
      <c r="F134" s="11">
        <f t="shared" si="5"/>
        <v>-64790000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678</v>
      </c>
      <c r="E135" s="11">
        <f t="shared" si="7"/>
        <v>0</v>
      </c>
      <c r="F135" s="11">
        <f t="shared" si="5"/>
        <v>-135600000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676</v>
      </c>
      <c r="E136" s="11">
        <f t="shared" si="7"/>
        <v>1</v>
      </c>
      <c r="F136" s="11">
        <f t="shared" si="5"/>
        <v>33750000000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675</v>
      </c>
      <c r="E137" s="11">
        <f t="shared" si="7"/>
        <v>1</v>
      </c>
      <c r="F137" s="11">
        <f t="shared" si="5"/>
        <v>8088000000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673</v>
      </c>
      <c r="E138" s="11">
        <f t="shared" si="7"/>
        <v>1</v>
      </c>
      <c r="F138" s="11">
        <f t="shared" si="5"/>
        <v>1344000000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672</v>
      </c>
      <c r="E139" s="11">
        <f t="shared" si="7"/>
        <v>1</v>
      </c>
      <c r="F139" s="11">
        <f t="shared" si="5"/>
        <v>58737998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659</v>
      </c>
      <c r="E140" s="11">
        <f t="shared" si="7"/>
        <v>0</v>
      </c>
      <c r="F140" s="11">
        <f t="shared" si="5"/>
        <v>-1977593100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658</v>
      </c>
      <c r="E141" s="11">
        <f t="shared" si="7"/>
        <v>0</v>
      </c>
      <c r="F141" s="11">
        <f t="shared" si="5"/>
        <v>-1974592200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641</v>
      </c>
      <c r="E142" s="11">
        <f t="shared" si="7"/>
        <v>1</v>
      </c>
      <c r="F142" s="11">
        <f t="shared" si="5"/>
        <v>385296000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641</v>
      </c>
      <c r="E143" s="11">
        <f t="shared" si="7"/>
        <v>0</v>
      </c>
      <c r="F143" s="11">
        <f t="shared" si="5"/>
        <v>-29486000000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610</v>
      </c>
      <c r="E144" s="11">
        <f t="shared" si="7"/>
        <v>1</v>
      </c>
      <c r="F144" s="11">
        <f t="shared" si="5"/>
        <v>93851163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609</v>
      </c>
      <c r="E145" s="11">
        <f t="shared" si="7"/>
        <v>1</v>
      </c>
      <c r="F145" s="11">
        <f t="shared" si="5"/>
        <v>1824000000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606</v>
      </c>
      <c r="E146" s="11">
        <f t="shared" si="7"/>
        <v>0</v>
      </c>
      <c r="F146" s="11">
        <f t="shared" si="5"/>
        <v>-121200000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601</v>
      </c>
      <c r="E147" s="11">
        <f t="shared" si="7"/>
        <v>0</v>
      </c>
      <c r="F147" s="11">
        <f t="shared" si="5"/>
        <v>-120200000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600</v>
      </c>
      <c r="E148" s="11">
        <f t="shared" si="7"/>
        <v>0</v>
      </c>
      <c r="F148" s="11">
        <f t="shared" si="5"/>
        <v>-120000000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596</v>
      </c>
      <c r="E149" s="11">
        <f t="shared" si="7"/>
        <v>0</v>
      </c>
      <c r="F149" s="11">
        <f t="shared" si="5"/>
        <v>-119200000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595</v>
      </c>
      <c r="E150" s="11">
        <f t="shared" si="7"/>
        <v>1</v>
      </c>
      <c r="F150" s="11">
        <f t="shared" si="5"/>
        <v>14299599600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593</v>
      </c>
      <c r="E151" s="11">
        <f t="shared" si="7"/>
        <v>0</v>
      </c>
      <c r="F151" s="11">
        <f t="shared" si="5"/>
        <v>-118600000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587</v>
      </c>
      <c r="E152" s="11">
        <f t="shared" si="7"/>
        <v>0</v>
      </c>
      <c r="F152" s="11">
        <f t="shared" si="5"/>
        <v>-17610000000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586</v>
      </c>
      <c r="E153" s="11">
        <f t="shared" si="7"/>
        <v>0</v>
      </c>
      <c r="F153" s="11">
        <f t="shared" si="5"/>
        <v>-30472000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586</v>
      </c>
      <c r="E154" s="11">
        <f t="shared" si="7"/>
        <v>0</v>
      </c>
      <c r="F154" s="11">
        <f t="shared" si="5"/>
        <v>-79696000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581</v>
      </c>
      <c r="E155" s="11">
        <f t="shared" si="7"/>
        <v>1</v>
      </c>
      <c r="F155" s="11">
        <f t="shared" si="5"/>
        <v>1740000000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580</v>
      </c>
      <c r="E156" s="11">
        <f t="shared" si="7"/>
        <v>1</v>
      </c>
      <c r="F156" s="11">
        <f t="shared" si="5"/>
        <v>109490637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580</v>
      </c>
      <c r="E157" s="11">
        <f t="shared" si="7"/>
        <v>1</v>
      </c>
      <c r="F157" s="11">
        <f t="shared" si="5"/>
        <v>14027838300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572</v>
      </c>
      <c r="E158" s="11">
        <f t="shared" si="7"/>
        <v>1</v>
      </c>
      <c r="F158" s="11">
        <f t="shared" si="5"/>
        <v>13872559200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572</v>
      </c>
      <c r="E159" s="11">
        <f t="shared" si="7"/>
        <v>0</v>
      </c>
      <c r="F159" s="11">
        <f t="shared" si="5"/>
        <v>-114972000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567</v>
      </c>
      <c r="E160" s="11">
        <f t="shared" si="7"/>
        <v>0</v>
      </c>
      <c r="F160" s="11">
        <f t="shared" si="5"/>
        <v>-113400000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564</v>
      </c>
      <c r="E161" s="11">
        <f t="shared" si="7"/>
        <v>0</v>
      </c>
      <c r="F161" s="11">
        <f t="shared" si="5"/>
        <v>-112800000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560</v>
      </c>
      <c r="E162" s="11">
        <f t="shared" si="7"/>
        <v>0</v>
      </c>
      <c r="F162" s="11">
        <f t="shared" si="5"/>
        <v>-112000000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557</v>
      </c>
      <c r="E163" s="11">
        <f t="shared" si="7"/>
        <v>0</v>
      </c>
      <c r="F163" s="11">
        <f t="shared" si="5"/>
        <v>-111400000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550</v>
      </c>
      <c r="E164" s="11">
        <f t="shared" si="7"/>
        <v>1</v>
      </c>
      <c r="F164" s="11">
        <f t="shared" si="5"/>
        <v>251263026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547</v>
      </c>
      <c r="E165" s="11">
        <f t="shared" si="7"/>
        <v>1</v>
      </c>
      <c r="F165" s="11">
        <f t="shared" si="5"/>
        <v>1474200000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547</v>
      </c>
      <c r="E166" s="11">
        <f t="shared" si="7"/>
        <v>1</v>
      </c>
      <c r="F166" s="11">
        <f t="shared" si="5"/>
        <v>1365000000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540</v>
      </c>
      <c r="E167" s="11">
        <f t="shared" si="7"/>
        <v>0</v>
      </c>
      <c r="F167" s="11">
        <f t="shared" si="5"/>
        <v>-108000000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538</v>
      </c>
      <c r="E168" s="11">
        <f t="shared" si="7"/>
        <v>0</v>
      </c>
      <c r="F168" s="11">
        <f t="shared" si="5"/>
        <v>-107600000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532</v>
      </c>
      <c r="E169" s="11">
        <f t="shared" si="7"/>
        <v>0</v>
      </c>
      <c r="F169" s="11">
        <f t="shared" si="5"/>
        <v>-106400000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529</v>
      </c>
      <c r="E170" s="11">
        <f t="shared" si="7"/>
        <v>0</v>
      </c>
      <c r="F170" s="11">
        <f t="shared" si="5"/>
        <v>-105800000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529</v>
      </c>
      <c r="E171" s="11">
        <f t="shared" si="7"/>
        <v>1</v>
      </c>
      <c r="F171" s="11">
        <f t="shared" si="5"/>
        <v>1584000000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526</v>
      </c>
      <c r="E172" s="11">
        <f t="shared" si="7"/>
        <v>0</v>
      </c>
      <c r="F172" s="11">
        <f t="shared" si="5"/>
        <v>-105200000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525</v>
      </c>
      <c r="E173" s="11">
        <f t="shared" si="7"/>
        <v>1</v>
      </c>
      <c r="F173" s="11">
        <f t="shared" si="5"/>
        <v>1572000000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524</v>
      </c>
      <c r="E174" s="11">
        <f t="shared" si="7"/>
        <v>1</v>
      </c>
      <c r="F174" s="11">
        <f t="shared" si="5"/>
        <v>1046000000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523</v>
      </c>
      <c r="E175" s="11">
        <f t="shared" si="7"/>
        <v>1</v>
      </c>
      <c r="F175" s="11">
        <f t="shared" si="5"/>
        <v>678600000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521</v>
      </c>
      <c r="E176" s="11">
        <f t="shared" si="7"/>
        <v>0</v>
      </c>
      <c r="F176" s="11">
        <f t="shared" si="5"/>
        <v>-104200000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521</v>
      </c>
      <c r="E177" s="11">
        <f t="shared" si="7"/>
        <v>1</v>
      </c>
      <c r="F177" s="11">
        <f t="shared" si="5"/>
        <v>884000000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520</v>
      </c>
      <c r="E178" s="11">
        <f t="shared" si="7"/>
        <v>0</v>
      </c>
      <c r="F178" s="11">
        <f t="shared" si="5"/>
        <v>-104000000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519</v>
      </c>
      <c r="E179" s="11">
        <f t="shared" si="7"/>
        <v>1</v>
      </c>
      <c r="F179" s="11">
        <f t="shared" si="5"/>
        <v>296032856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516</v>
      </c>
      <c r="E180" s="11">
        <f t="shared" si="7"/>
        <v>1</v>
      </c>
      <c r="F180" s="11">
        <f t="shared" si="5"/>
        <v>1545000000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509</v>
      </c>
      <c r="E181" s="11">
        <f t="shared" si="7"/>
        <v>1</v>
      </c>
      <c r="F181" s="11">
        <f t="shared" si="5"/>
        <v>1016000000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501</v>
      </c>
      <c r="E182" s="11">
        <f t="shared" si="7"/>
        <v>0</v>
      </c>
      <c r="F182" s="11">
        <f t="shared" si="5"/>
        <v>-1102550700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489</v>
      </c>
      <c r="E183" s="11">
        <f t="shared" si="7"/>
        <v>1</v>
      </c>
      <c r="F183" s="11">
        <f t="shared" si="5"/>
        <v>329442456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459</v>
      </c>
      <c r="E184" s="11">
        <f t="shared" si="7"/>
        <v>1</v>
      </c>
      <c r="F184" s="11">
        <f t="shared" si="5"/>
        <v>310066000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444</v>
      </c>
      <c r="E185" s="11">
        <f t="shared" si="7"/>
        <v>0</v>
      </c>
      <c r="F185" s="11">
        <f t="shared" si="5"/>
        <v>-4440000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439</v>
      </c>
      <c r="E186" s="11">
        <f t="shared" si="7"/>
        <v>0</v>
      </c>
      <c r="F186" s="11">
        <f t="shared" si="5"/>
        <v>-35339500000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434</v>
      </c>
      <c r="E187" s="11">
        <f t="shared" si="7"/>
        <v>0</v>
      </c>
      <c r="F187" s="11">
        <f t="shared" si="5"/>
        <v>-477400000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434</v>
      </c>
      <c r="E188" s="11">
        <f t="shared" si="7"/>
        <v>1</v>
      </c>
      <c r="F188" s="11">
        <f t="shared" si="5"/>
        <v>1299000000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433</v>
      </c>
      <c r="E189" s="11">
        <f t="shared" si="7"/>
        <v>1</v>
      </c>
      <c r="F189" s="11">
        <f t="shared" si="5"/>
        <v>864000000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433</v>
      </c>
      <c r="E190" s="11">
        <f t="shared" si="7"/>
        <v>0</v>
      </c>
      <c r="F190" s="11">
        <f t="shared" si="5"/>
        <v>-2165000000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432</v>
      </c>
      <c r="E191" s="11">
        <f t="shared" si="7"/>
        <v>1</v>
      </c>
      <c r="F191" s="11">
        <f t="shared" si="5"/>
        <v>208279888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428</v>
      </c>
      <c r="E192" s="11">
        <f t="shared" si="7"/>
        <v>0</v>
      </c>
      <c r="F192" s="11">
        <f t="shared" si="5"/>
        <v>-49348400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424</v>
      </c>
      <c r="E193" s="11">
        <f t="shared" si="7"/>
        <v>1</v>
      </c>
      <c r="F193" s="11">
        <f t="shared" si="5"/>
        <v>38070000000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417</v>
      </c>
      <c r="E194" s="11">
        <f t="shared" si="7"/>
        <v>1</v>
      </c>
      <c r="F194" s="11">
        <f t="shared" si="5"/>
        <v>21632000000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417</v>
      </c>
      <c r="E195" s="11">
        <f t="shared" si="7"/>
        <v>1</v>
      </c>
      <c r="F195" s="99">
        <f t="shared" si="5"/>
        <v>10400000000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417</v>
      </c>
      <c r="E196" s="99">
        <f t="shared" si="7"/>
        <v>0</v>
      </c>
      <c r="F196" s="99">
        <f t="shared" si="5"/>
        <v>-70056000000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410</v>
      </c>
      <c r="E197" s="99">
        <f t="shared" si="7"/>
        <v>0</v>
      </c>
      <c r="F197" s="99">
        <f t="shared" si="5"/>
        <v>-67855000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406</v>
      </c>
      <c r="E198" s="99">
        <f t="shared" si="7"/>
        <v>0</v>
      </c>
      <c r="F198" s="99">
        <f t="shared" si="5"/>
        <v>-81200000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406</v>
      </c>
      <c r="E199" s="99">
        <f t="shared" si="7"/>
        <v>0</v>
      </c>
      <c r="F199" s="99">
        <f t="shared" si="5"/>
        <v>-19074286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403</v>
      </c>
      <c r="E200" s="99">
        <f t="shared" si="7"/>
        <v>0</v>
      </c>
      <c r="F200" s="99">
        <f t="shared" si="5"/>
        <v>-1873950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401</v>
      </c>
      <c r="E201" s="99">
        <f t="shared" si="7"/>
        <v>1</v>
      </c>
      <c r="F201" s="99">
        <f t="shared" si="5"/>
        <v>63931200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398</v>
      </c>
      <c r="E202" s="99">
        <f t="shared" si="7"/>
        <v>0</v>
      </c>
      <c r="F202" s="99">
        <f t="shared" si="5"/>
        <v>-119599000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398</v>
      </c>
      <c r="E203" s="99">
        <f t="shared" si="7"/>
        <v>1</v>
      </c>
      <c r="F203" s="99">
        <f t="shared" si="5"/>
        <v>2382000000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396</v>
      </c>
      <c r="E204" s="99">
        <f t="shared" si="7"/>
        <v>0</v>
      </c>
      <c r="F204" s="99">
        <f t="shared" si="5"/>
        <v>-271260000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395</v>
      </c>
      <c r="E205" s="99">
        <f t="shared" si="7"/>
        <v>0</v>
      </c>
      <c r="F205" s="99">
        <f t="shared" si="5"/>
        <v>-1185000000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394</v>
      </c>
      <c r="E206" s="99">
        <f t="shared" si="7"/>
        <v>0</v>
      </c>
      <c r="F206" s="99">
        <f t="shared" si="5"/>
        <v>-61464000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393</v>
      </c>
      <c r="E207" s="99">
        <f t="shared" si="7"/>
        <v>0</v>
      </c>
      <c r="F207" s="99">
        <f t="shared" si="5"/>
        <v>-25938000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392</v>
      </c>
      <c r="E208" s="99">
        <f t="shared" si="7"/>
        <v>0</v>
      </c>
      <c r="F208" s="99">
        <f t="shared" si="5"/>
        <v>-980352800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390</v>
      </c>
      <c r="E209" s="99">
        <f t="shared" si="7"/>
        <v>1</v>
      </c>
      <c r="F209" s="99">
        <f t="shared" si="5"/>
        <v>1167000000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390</v>
      </c>
      <c r="E210" s="99">
        <f t="shared" si="7"/>
        <v>0</v>
      </c>
      <c r="F210" s="99">
        <f t="shared" si="5"/>
        <v>-1014546000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388</v>
      </c>
      <c r="E211" s="99">
        <f t="shared" si="7"/>
        <v>1</v>
      </c>
      <c r="F211" s="99">
        <f t="shared" si="5"/>
        <v>387000000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386</v>
      </c>
      <c r="E212" s="99">
        <f t="shared" si="7"/>
        <v>1</v>
      </c>
      <c r="F212" s="99">
        <f t="shared" si="5"/>
        <v>519750000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385</v>
      </c>
      <c r="E213" s="99">
        <f t="shared" si="7"/>
        <v>0</v>
      </c>
      <c r="F213" s="99">
        <f t="shared" si="5"/>
        <v>-847000000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385</v>
      </c>
      <c r="E214" s="99">
        <f t="shared" si="7"/>
        <v>0</v>
      </c>
      <c r="F214" s="99">
        <f t="shared" si="5"/>
        <v>-192692500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382</v>
      </c>
      <c r="E215" s="99">
        <f t="shared" si="7"/>
        <v>0</v>
      </c>
      <c r="F215" s="99">
        <f t="shared" si="5"/>
        <v>-17190000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382</v>
      </c>
      <c r="E216" s="99">
        <f t="shared" si="7"/>
        <v>1</v>
      </c>
      <c r="F216" s="99">
        <f t="shared" si="5"/>
        <v>381000000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382</v>
      </c>
      <c r="E217" s="99">
        <f t="shared" si="7"/>
        <v>0</v>
      </c>
      <c r="F217" s="99">
        <f t="shared" si="5"/>
        <v>-38200000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381</v>
      </c>
      <c r="E218" s="99">
        <f t="shared" si="7"/>
        <v>0</v>
      </c>
      <c r="F218" s="99">
        <f t="shared" si="5"/>
        <v>-114300000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378</v>
      </c>
      <c r="E219" s="99">
        <f t="shared" si="7"/>
        <v>0</v>
      </c>
      <c r="F219" s="99">
        <f t="shared" si="5"/>
        <v>-19243980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378</v>
      </c>
      <c r="E220" s="99">
        <f t="shared" si="7"/>
        <v>0</v>
      </c>
      <c r="F220" s="99">
        <f t="shared" si="5"/>
        <v>-208089000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376</v>
      </c>
      <c r="E221" s="99">
        <f t="shared" si="7"/>
        <v>1</v>
      </c>
      <c r="F221" s="99">
        <f t="shared" si="5"/>
        <v>600000000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375</v>
      </c>
      <c r="E222" s="99">
        <f t="shared" si="7"/>
        <v>0</v>
      </c>
      <c r="F222" s="99">
        <f t="shared" si="5"/>
        <v>-562762500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370</v>
      </c>
      <c r="E223" s="99">
        <f t="shared" si="7"/>
        <v>1</v>
      </c>
      <c r="F223" s="99">
        <f t="shared" si="5"/>
        <v>3180411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367</v>
      </c>
      <c r="E224" s="99">
        <f t="shared" si="7"/>
        <v>1</v>
      </c>
      <c r="F224" s="99">
        <f t="shared" si="5"/>
        <v>1098000000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365</v>
      </c>
      <c r="E225" s="99">
        <f t="shared" si="7"/>
        <v>0</v>
      </c>
      <c r="F225" s="99">
        <f t="shared" si="5"/>
        <v>-1095328500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364</v>
      </c>
      <c r="E226" s="99">
        <f t="shared" si="7"/>
        <v>1</v>
      </c>
      <c r="F226" s="99">
        <f t="shared" si="5"/>
        <v>1089000000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364</v>
      </c>
      <c r="E227" s="99">
        <f t="shared" si="7"/>
        <v>0</v>
      </c>
      <c r="F227" s="99">
        <f t="shared" si="5"/>
        <v>-63845600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363</v>
      </c>
      <c r="E228" s="99">
        <f t="shared" si="7"/>
        <v>0</v>
      </c>
      <c r="F228" s="99">
        <f t="shared" si="5"/>
        <v>-435781500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363</v>
      </c>
      <c r="E229" s="99">
        <f t="shared" si="7"/>
        <v>0</v>
      </c>
      <c r="F229" s="99">
        <f t="shared" si="5"/>
        <v>-7461465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362</v>
      </c>
      <c r="E230" s="99">
        <f t="shared" si="7"/>
        <v>0</v>
      </c>
      <c r="F230" s="99">
        <f t="shared" si="5"/>
        <v>-367236692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361</v>
      </c>
      <c r="E231" s="99">
        <f t="shared" si="7"/>
        <v>0</v>
      </c>
      <c r="F231" s="99">
        <f t="shared" si="5"/>
        <v>-8745225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360</v>
      </c>
      <c r="E232" s="99">
        <f t="shared" si="7"/>
        <v>1</v>
      </c>
      <c r="F232" s="99">
        <f t="shared" si="5"/>
        <v>394900000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360</v>
      </c>
      <c r="E233" s="99">
        <f t="shared" si="7"/>
        <v>0</v>
      </c>
      <c r="F233" s="99">
        <f t="shared" si="5"/>
        <v>-53244000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356</v>
      </c>
      <c r="E234" s="99">
        <f t="shared" si="7"/>
        <v>0</v>
      </c>
      <c r="F234" s="99">
        <f t="shared" si="5"/>
        <v>-24195540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351</v>
      </c>
      <c r="E235" s="99">
        <f t="shared" si="7"/>
        <v>0</v>
      </c>
      <c r="F235" s="99">
        <f t="shared" si="5"/>
        <v>-40271634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350</v>
      </c>
      <c r="E236" s="99">
        <f t="shared" si="7"/>
        <v>0</v>
      </c>
      <c r="F236" s="99">
        <f t="shared" si="5"/>
        <v>-126000000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350</v>
      </c>
      <c r="E237" s="99">
        <f t="shared" si="7"/>
        <v>0</v>
      </c>
      <c r="F237" s="99">
        <f t="shared" si="5"/>
        <v>-73850000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350</v>
      </c>
      <c r="E238" s="99">
        <f t="shared" si="7"/>
        <v>0</v>
      </c>
      <c r="F238" s="99">
        <f t="shared" si="5"/>
        <v>-66395000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349</v>
      </c>
      <c r="E239" s="99">
        <f t="shared" si="7"/>
        <v>0</v>
      </c>
      <c r="F239" s="99">
        <f t="shared" si="5"/>
        <v>-139774500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349</v>
      </c>
      <c r="E240" s="99">
        <f t="shared" si="7"/>
        <v>1</v>
      </c>
      <c r="F240" s="99">
        <f t="shared" si="5"/>
        <v>139200000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346</v>
      </c>
      <c r="E241" s="99">
        <f t="shared" si="7"/>
        <v>0</v>
      </c>
      <c r="F241" s="99">
        <f t="shared" si="5"/>
        <v>-111022750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339</v>
      </c>
      <c r="E242" s="99">
        <f t="shared" si="7"/>
        <v>1</v>
      </c>
      <c r="F242" s="99">
        <f t="shared" si="5"/>
        <v>2053012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337</v>
      </c>
      <c r="E243" s="99">
        <f t="shared" si="7"/>
        <v>0</v>
      </c>
      <c r="F243" s="99">
        <f t="shared" si="5"/>
        <v>-124858500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322</v>
      </c>
      <c r="E244" s="99">
        <f t="shared" si="7"/>
        <v>1</v>
      </c>
      <c r="F244" s="99">
        <f t="shared" si="5"/>
        <v>963000000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320</v>
      </c>
      <c r="E245" s="99">
        <f t="shared" si="7"/>
        <v>0</v>
      </c>
      <c r="F245" s="99">
        <f t="shared" si="5"/>
        <v>-25600000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319</v>
      </c>
      <c r="E246" s="99">
        <f t="shared" si="7"/>
        <v>0</v>
      </c>
      <c r="F246" s="99">
        <f t="shared" si="5"/>
        <v>-861300000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319</v>
      </c>
      <c r="E247" s="99">
        <f t="shared" si="7"/>
        <v>0</v>
      </c>
      <c r="F247" s="99">
        <f t="shared" si="5"/>
        <v>-9570000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317</v>
      </c>
      <c r="E248" s="99">
        <f t="shared" si="7"/>
        <v>0</v>
      </c>
      <c r="F248" s="99">
        <f t="shared" si="5"/>
        <v>-38040000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316</v>
      </c>
      <c r="E249" s="99">
        <f>IF(B250&gt;0,1,0)</f>
        <v>1</v>
      </c>
      <c r="F249" s="99">
        <f>B250*(D249-E249)</f>
        <v>252000000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315</v>
      </c>
      <c r="E250" s="99">
        <f>IF(B251&gt;0,1,0)</f>
        <v>0</v>
      </c>
      <c r="F250" s="99">
        <f>B251*(D250-E250)</f>
        <v>-6126750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314</v>
      </c>
      <c r="E251" s="99">
        <f>IF(B252&gt;0,1,0)</f>
        <v>0</v>
      </c>
      <c r="F251" s="99">
        <f>B252*(D251-E251)</f>
        <v>-157000000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314</v>
      </c>
      <c r="E252" s="99">
        <f>IF(B253&gt;0,1,0)</f>
        <v>1</v>
      </c>
      <c r="F252" s="99">
        <f>B253*(D252-E252)</f>
        <v>156500000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314</v>
      </c>
      <c r="E253" s="99">
        <f t="shared" ref="E253:E275" si="9">IF(B254&gt;0,1,0)</f>
        <v>0</v>
      </c>
      <c r="F253" s="99">
        <f>B254*(D253-E253)</f>
        <v>-142748482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314</v>
      </c>
      <c r="E254" s="99">
        <f t="shared" si="9"/>
        <v>0</v>
      </c>
      <c r="F254" s="99">
        <f t="shared" ref="F254:F275" si="10">B255*(D254-E254)</f>
        <v>-6154400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313</v>
      </c>
      <c r="E255" s="99">
        <f t="shared" si="9"/>
        <v>0</v>
      </c>
      <c r="F255" s="99">
        <f t="shared" si="10"/>
        <v>-7893860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313</v>
      </c>
      <c r="E256" s="99">
        <f t="shared" si="9"/>
        <v>0</v>
      </c>
      <c r="F256" s="99">
        <f t="shared" si="10"/>
        <v>-46793500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312</v>
      </c>
      <c r="E257" s="99">
        <f t="shared" si="9"/>
        <v>0</v>
      </c>
      <c r="F257" s="99">
        <f t="shared" si="10"/>
        <v>-48360000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312</v>
      </c>
      <c r="E258" s="99">
        <f t="shared" si="9"/>
        <v>0</v>
      </c>
      <c r="F258" s="99">
        <f t="shared" si="10"/>
        <v>-1560000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230</v>
      </c>
      <c r="E259" s="99">
        <f t="shared" si="9"/>
        <v>1</v>
      </c>
      <c r="F259" s="99">
        <f t="shared" si="10"/>
        <v>22900000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148</v>
      </c>
      <c r="E260" s="99">
        <f t="shared" si="9"/>
        <v>1</v>
      </c>
      <c r="F260" s="99">
        <f t="shared" si="10"/>
        <v>441000000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147</v>
      </c>
      <c r="E261" s="99">
        <f t="shared" si="9"/>
        <v>0</v>
      </c>
      <c r="F261" s="99">
        <f t="shared" si="10"/>
        <v>-9775500</v>
      </c>
      <c r="G261" s="99" t="s">
        <v>3891</v>
      </c>
    </row>
    <row r="262" spans="1:11">
      <c r="A262" s="99" t="s">
        <v>4587</v>
      </c>
      <c r="B262" s="113">
        <v>-66500</v>
      </c>
      <c r="C262" s="99">
        <v>2</v>
      </c>
      <c r="D262" s="99">
        <f t="shared" si="8"/>
        <v>144</v>
      </c>
      <c r="E262" s="99">
        <f t="shared" si="9"/>
        <v>0</v>
      </c>
      <c r="F262" s="99">
        <f t="shared" si="10"/>
        <v>-5454432</v>
      </c>
      <c r="G262" s="99" t="s">
        <v>3964</v>
      </c>
      <c r="K262" t="s">
        <v>25</v>
      </c>
    </row>
    <row r="263" spans="1:11">
      <c r="A263" s="99" t="s">
        <v>4588</v>
      </c>
      <c r="B263" s="113">
        <v>-37878</v>
      </c>
      <c r="C263" s="99">
        <v>2</v>
      </c>
      <c r="D263" s="99">
        <f t="shared" si="8"/>
        <v>142</v>
      </c>
      <c r="E263" s="99">
        <f t="shared" si="9"/>
        <v>0</v>
      </c>
      <c r="F263" s="99">
        <f t="shared" si="10"/>
        <v>-5893000</v>
      </c>
      <c r="G263" s="99" t="s">
        <v>4589</v>
      </c>
      <c r="J263" t="s">
        <v>25</v>
      </c>
      <c r="K263" t="s">
        <v>25</v>
      </c>
    </row>
    <row r="264" spans="1:11">
      <c r="A264" s="99" t="s">
        <v>4583</v>
      </c>
      <c r="B264" s="113">
        <v>-41500</v>
      </c>
      <c r="C264" s="99">
        <v>3</v>
      </c>
      <c r="D264" s="99">
        <f t="shared" si="8"/>
        <v>140</v>
      </c>
      <c r="E264" s="99">
        <f t="shared" si="9"/>
        <v>0</v>
      </c>
      <c r="F264" s="99">
        <f t="shared" si="10"/>
        <v>-26600000</v>
      </c>
      <c r="G264" s="99" t="s">
        <v>1039</v>
      </c>
      <c r="J264" t="s">
        <v>25</v>
      </c>
    </row>
    <row r="265" spans="1:11">
      <c r="A265" s="99" t="s">
        <v>4615</v>
      </c>
      <c r="B265" s="113">
        <v>-190000</v>
      </c>
      <c r="C265" s="99">
        <v>1</v>
      </c>
      <c r="D265" s="99">
        <f t="shared" si="8"/>
        <v>137</v>
      </c>
      <c r="E265" s="99">
        <f t="shared" si="9"/>
        <v>0</v>
      </c>
      <c r="F265" s="99">
        <f t="shared" si="10"/>
        <v>-7535000</v>
      </c>
      <c r="G265" s="99"/>
    </row>
    <row r="266" spans="1:11">
      <c r="A266" s="99" t="s">
        <v>4614</v>
      </c>
      <c r="B266" s="113">
        <v>-55000</v>
      </c>
      <c r="C266" s="99">
        <v>1</v>
      </c>
      <c r="D266" s="99">
        <f t="shared" si="8"/>
        <v>136</v>
      </c>
      <c r="E266" s="99">
        <f t="shared" si="9"/>
        <v>0</v>
      </c>
      <c r="F266" s="99">
        <f t="shared" si="10"/>
        <v>-3997720</v>
      </c>
      <c r="G266" s="99"/>
    </row>
    <row r="267" spans="1:11">
      <c r="A267" s="99" t="s">
        <v>4603</v>
      </c>
      <c r="B267" s="113">
        <v>-29395</v>
      </c>
      <c r="C267" s="99">
        <v>2</v>
      </c>
      <c r="D267" s="99">
        <f t="shared" si="8"/>
        <v>135</v>
      </c>
      <c r="E267" s="99">
        <f t="shared" si="9"/>
        <v>0</v>
      </c>
      <c r="F267" s="99">
        <f t="shared" si="10"/>
        <v>-6750000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133</v>
      </c>
      <c r="E268" s="99">
        <f t="shared" si="9"/>
        <v>0</v>
      </c>
      <c r="F268" s="99">
        <f t="shared" si="10"/>
        <v>-10640000</v>
      </c>
      <c r="G268" s="99"/>
    </row>
    <row r="269" spans="1:11">
      <c r="A269" s="99" t="s">
        <v>4617</v>
      </c>
      <c r="B269" s="113">
        <v>-80000</v>
      </c>
      <c r="C269" s="99">
        <v>1</v>
      </c>
      <c r="D269" s="99">
        <f t="shared" si="8"/>
        <v>132</v>
      </c>
      <c r="E269" s="99">
        <f t="shared" si="9"/>
        <v>0</v>
      </c>
      <c r="F269" s="99">
        <f t="shared" si="10"/>
        <v>-13055988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131</v>
      </c>
      <c r="E270" s="99">
        <f t="shared" si="9"/>
        <v>0</v>
      </c>
      <c r="F270" s="99">
        <f t="shared" si="10"/>
        <v>-1228780</v>
      </c>
      <c r="G270" s="99"/>
    </row>
    <row r="271" spans="1:11">
      <c r="A271" s="99" t="s">
        <v>4622</v>
      </c>
      <c r="B271" s="113">
        <v>-9380</v>
      </c>
      <c r="C271" s="99">
        <v>0</v>
      </c>
      <c r="D271" s="99">
        <f t="shared" si="8"/>
        <v>128</v>
      </c>
      <c r="E271" s="99">
        <f t="shared" si="9"/>
        <v>0</v>
      </c>
      <c r="F271" s="99">
        <f t="shared" si="10"/>
        <v>-307200000</v>
      </c>
      <c r="G271" s="99"/>
    </row>
    <row r="272" spans="1:11">
      <c r="A272" s="99" t="s">
        <v>4622</v>
      </c>
      <c r="B272" s="113">
        <v>-2400000</v>
      </c>
      <c r="C272" s="99">
        <v>3</v>
      </c>
      <c r="D272" s="99">
        <f t="shared" si="8"/>
        <v>128</v>
      </c>
      <c r="E272" s="99">
        <f t="shared" si="9"/>
        <v>1</v>
      </c>
      <c r="F272" s="99">
        <f t="shared" si="10"/>
        <v>1905000</v>
      </c>
      <c r="G272" s="99"/>
    </row>
    <row r="273" spans="1:11">
      <c r="A273" s="99" t="s">
        <v>4633</v>
      </c>
      <c r="B273" s="113">
        <v>15000</v>
      </c>
      <c r="C273" s="99">
        <v>93</v>
      </c>
      <c r="D273" s="99">
        <f t="shared" si="8"/>
        <v>125</v>
      </c>
      <c r="E273" s="99">
        <f t="shared" si="9"/>
        <v>1</v>
      </c>
      <c r="F273" s="99">
        <f t="shared" si="10"/>
        <v>434000000</v>
      </c>
      <c r="G273" s="99"/>
    </row>
    <row r="274" spans="1:11">
      <c r="A274" s="99" t="s">
        <v>4962</v>
      </c>
      <c r="B274" s="113">
        <v>3500000</v>
      </c>
      <c r="C274" s="99">
        <v>0</v>
      </c>
      <c r="D274" s="99">
        <f t="shared" si="8"/>
        <v>32</v>
      </c>
      <c r="E274" s="99">
        <f t="shared" si="9"/>
        <v>0</v>
      </c>
      <c r="F274" s="99">
        <f t="shared" si="10"/>
        <v>-7168384</v>
      </c>
      <c r="G274" s="99"/>
    </row>
    <row r="275" spans="1:11">
      <c r="A275" s="99" t="s">
        <v>4962</v>
      </c>
      <c r="B275" s="113">
        <v>-224012</v>
      </c>
      <c r="C275" s="99">
        <v>2</v>
      </c>
      <c r="D275" s="99">
        <f t="shared" si="8"/>
        <v>32</v>
      </c>
      <c r="E275" s="99">
        <f t="shared" si="9"/>
        <v>0</v>
      </c>
      <c r="F275" s="99">
        <f t="shared" si="10"/>
        <v>-3349472</v>
      </c>
      <c r="G275" s="99"/>
    </row>
    <row r="276" spans="1:11">
      <c r="A276" s="99" t="s">
        <v>4985</v>
      </c>
      <c r="B276" s="113">
        <v>-104671</v>
      </c>
      <c r="C276" s="99">
        <v>1</v>
      </c>
      <c r="D276" s="99">
        <f t="shared" ref="D276:D280" si="11">D277+C276</f>
        <v>30</v>
      </c>
      <c r="E276" s="99">
        <f t="shared" ref="E276:E280" si="12">IF(B277&gt;0,1,0)</f>
        <v>0</v>
      </c>
      <c r="F276" s="99">
        <f t="shared" ref="F276:F280" si="13">B277*(D276-E276)</f>
        <v>-8160000</v>
      </c>
      <c r="G276" s="99"/>
    </row>
    <row r="277" spans="1:11">
      <c r="A277" s="99" t="s">
        <v>4987</v>
      </c>
      <c r="B277" s="113">
        <v>-272000</v>
      </c>
      <c r="C277" s="99">
        <v>1</v>
      </c>
      <c r="D277" s="99">
        <f t="shared" si="11"/>
        <v>29</v>
      </c>
      <c r="E277" s="99">
        <f t="shared" si="12"/>
        <v>0</v>
      </c>
      <c r="F277" s="99">
        <f t="shared" si="13"/>
        <v>-74387262</v>
      </c>
      <c r="G277" s="99"/>
    </row>
    <row r="278" spans="1:11">
      <c r="A278" s="99" t="s">
        <v>4989</v>
      </c>
      <c r="B278" s="113">
        <v>-2565078</v>
      </c>
      <c r="C278" s="99">
        <v>2</v>
      </c>
      <c r="D278" s="99">
        <f t="shared" si="11"/>
        <v>28</v>
      </c>
      <c r="E278" s="99">
        <f t="shared" si="12"/>
        <v>0</v>
      </c>
      <c r="F278" s="99">
        <f t="shared" si="13"/>
        <v>-5978000</v>
      </c>
      <c r="G278" s="99"/>
    </row>
    <row r="279" spans="1:11">
      <c r="A279" s="99" t="s">
        <v>4934</v>
      </c>
      <c r="B279" s="113">
        <v>-213500</v>
      </c>
      <c r="C279" s="99">
        <v>1</v>
      </c>
      <c r="D279" s="99">
        <f t="shared" si="11"/>
        <v>26</v>
      </c>
      <c r="E279" s="99">
        <f t="shared" si="12"/>
        <v>0</v>
      </c>
      <c r="F279" s="99">
        <f t="shared" si="13"/>
        <v>-99060</v>
      </c>
      <c r="G279" s="99"/>
    </row>
    <row r="280" spans="1:11">
      <c r="A280" s="99" t="s">
        <v>5007</v>
      </c>
      <c r="B280" s="113">
        <v>-3810</v>
      </c>
      <c r="C280" s="99">
        <v>1</v>
      </c>
      <c r="D280" s="99">
        <f t="shared" si="11"/>
        <v>25</v>
      </c>
      <c r="E280" s="99">
        <f t="shared" si="12"/>
        <v>0</v>
      </c>
      <c r="F280" s="99">
        <f t="shared" si="13"/>
        <v>-3015800</v>
      </c>
      <c r="G280" s="99"/>
      <c r="J280" t="s">
        <v>25</v>
      </c>
    </row>
    <row r="281" spans="1:11">
      <c r="A281" s="99" t="s">
        <v>5008</v>
      </c>
      <c r="B281" s="113">
        <v>-120632</v>
      </c>
      <c r="C281" s="99">
        <v>1</v>
      </c>
      <c r="D281" s="99">
        <f t="shared" ref="D281:D288" si="14">D282+C281</f>
        <v>24</v>
      </c>
      <c r="E281" s="99">
        <f t="shared" ref="E281:E288" si="15">IF(B282&gt;0,1,0)</f>
        <v>1</v>
      </c>
      <c r="F281" s="99">
        <f t="shared" ref="F281:F288" si="16">B282*(D281-E281)</f>
        <v>1840000</v>
      </c>
      <c r="G281" s="99"/>
      <c r="J281" t="s">
        <v>25</v>
      </c>
    </row>
    <row r="282" spans="1:11">
      <c r="A282" s="99" t="s">
        <v>4995</v>
      </c>
      <c r="B282" s="113">
        <v>80000</v>
      </c>
      <c r="C282" s="99">
        <v>0</v>
      </c>
      <c r="D282" s="99">
        <f t="shared" si="14"/>
        <v>23</v>
      </c>
      <c r="E282" s="99">
        <f t="shared" si="15"/>
        <v>0</v>
      </c>
      <c r="F282" s="99">
        <f t="shared" si="16"/>
        <v>-57500</v>
      </c>
      <c r="G282" s="99"/>
    </row>
    <row r="283" spans="1:11">
      <c r="A283" s="99" t="s">
        <v>4995</v>
      </c>
      <c r="B283" s="113">
        <v>-2500</v>
      </c>
      <c r="C283" s="99">
        <v>1</v>
      </c>
      <c r="D283" s="99">
        <f t="shared" si="14"/>
        <v>23</v>
      </c>
      <c r="E283" s="99">
        <f t="shared" si="15"/>
        <v>0</v>
      </c>
      <c r="F283" s="99">
        <f t="shared" si="16"/>
        <v>-690000</v>
      </c>
      <c r="G283" s="99"/>
      <c r="J283" s="114">
        <f>B315-498804</f>
        <v>-140500</v>
      </c>
    </row>
    <row r="284" spans="1:11">
      <c r="A284" s="99" t="s">
        <v>5000</v>
      </c>
      <c r="B284" s="113">
        <v>-30000</v>
      </c>
      <c r="C284" s="99">
        <v>1</v>
      </c>
      <c r="D284" s="99">
        <f t="shared" si="14"/>
        <v>22</v>
      </c>
      <c r="E284" s="99">
        <f t="shared" si="15"/>
        <v>0</v>
      </c>
      <c r="F284" s="99">
        <f t="shared" si="16"/>
        <v>-435600</v>
      </c>
      <c r="G284" s="99"/>
    </row>
    <row r="285" spans="1:11">
      <c r="A285" s="99" t="s">
        <v>5009</v>
      </c>
      <c r="B285" s="113">
        <v>-19800</v>
      </c>
      <c r="C285" s="99">
        <v>1</v>
      </c>
      <c r="D285" s="99">
        <f t="shared" si="14"/>
        <v>21</v>
      </c>
      <c r="E285" s="99">
        <f t="shared" si="15"/>
        <v>1</v>
      </c>
      <c r="F285" s="99">
        <f t="shared" si="16"/>
        <v>18800000</v>
      </c>
      <c r="G285" s="99"/>
      <c r="K285" t="s">
        <v>25</v>
      </c>
    </row>
    <row r="286" spans="1:11">
      <c r="A286" s="99" t="s">
        <v>4999</v>
      </c>
      <c r="B286" s="113">
        <v>940000</v>
      </c>
      <c r="C286" s="99">
        <v>0</v>
      </c>
      <c r="D286" s="99">
        <f t="shared" si="14"/>
        <v>20</v>
      </c>
      <c r="E286" s="99">
        <f t="shared" si="15"/>
        <v>0</v>
      </c>
      <c r="F286" s="99">
        <f t="shared" si="16"/>
        <v>-4020000</v>
      </c>
      <c r="G286" s="99"/>
    </row>
    <row r="287" spans="1:11">
      <c r="A287" s="99" t="s">
        <v>4999</v>
      </c>
      <c r="B287" s="113">
        <v>-201000</v>
      </c>
      <c r="C287" s="99">
        <v>1</v>
      </c>
      <c r="D287" s="99">
        <f t="shared" si="14"/>
        <v>20</v>
      </c>
      <c r="E287" s="99">
        <f t="shared" si="15"/>
        <v>0</v>
      </c>
      <c r="F287" s="99">
        <f t="shared" si="16"/>
        <v>-6418600</v>
      </c>
      <c r="G287" s="99"/>
    </row>
    <row r="288" spans="1:11">
      <c r="A288" s="99" t="s">
        <v>5005</v>
      </c>
      <c r="B288" s="113">
        <v>-320930</v>
      </c>
      <c r="C288" s="99">
        <v>3</v>
      </c>
      <c r="D288" s="99">
        <f t="shared" si="14"/>
        <v>19</v>
      </c>
      <c r="E288" s="99">
        <f t="shared" si="15"/>
        <v>0</v>
      </c>
      <c r="F288" s="99">
        <f t="shared" si="16"/>
        <v>-7600000</v>
      </c>
      <c r="G288" s="99"/>
    </row>
    <row r="289" spans="1:10">
      <c r="A289" s="99" t="s">
        <v>5006</v>
      </c>
      <c r="B289" s="113">
        <v>-400000</v>
      </c>
      <c r="C289" s="99">
        <v>1</v>
      </c>
      <c r="D289" s="99">
        <f t="shared" ref="D289:D313" si="17">D290+C289</f>
        <v>16</v>
      </c>
      <c r="E289" s="99">
        <f t="shared" ref="E289:E313" si="18">IF(B290&gt;0,1,0)</f>
        <v>0</v>
      </c>
      <c r="F289" s="99">
        <f t="shared" ref="F289:F313" si="19">B290*(D289-E289)</f>
        <v>-264000</v>
      </c>
      <c r="G289" s="99"/>
    </row>
    <row r="290" spans="1:10">
      <c r="A290" s="99" t="s">
        <v>5013</v>
      </c>
      <c r="B290" s="113">
        <v>-16500</v>
      </c>
      <c r="C290" s="99">
        <v>11</v>
      </c>
      <c r="D290" s="99">
        <f t="shared" si="17"/>
        <v>15</v>
      </c>
      <c r="E290" s="99">
        <f t="shared" si="18"/>
        <v>1</v>
      </c>
      <c r="F290" s="99">
        <f t="shared" si="19"/>
        <v>36400000</v>
      </c>
      <c r="G290" s="99"/>
    </row>
    <row r="291" spans="1:10">
      <c r="A291" s="99" t="s">
        <v>5049</v>
      </c>
      <c r="B291" s="113">
        <v>2600000</v>
      </c>
      <c r="C291" s="99">
        <v>2</v>
      </c>
      <c r="D291" s="99">
        <f t="shared" si="17"/>
        <v>4</v>
      </c>
      <c r="E291" s="99">
        <f t="shared" si="18"/>
        <v>0</v>
      </c>
      <c r="F291" s="99">
        <f t="shared" si="19"/>
        <v>-4680000</v>
      </c>
      <c r="G291" s="99"/>
      <c r="I291" t="s">
        <v>25</v>
      </c>
    </row>
    <row r="292" spans="1:10">
      <c r="A292" s="99" t="s">
        <v>5050</v>
      </c>
      <c r="B292" s="113">
        <v>-1170000</v>
      </c>
      <c r="C292" s="99">
        <v>0</v>
      </c>
      <c r="D292" s="99">
        <f t="shared" si="17"/>
        <v>2</v>
      </c>
      <c r="E292" s="99">
        <f t="shared" si="18"/>
        <v>0</v>
      </c>
      <c r="F292" s="99">
        <f t="shared" si="19"/>
        <v>-18000</v>
      </c>
      <c r="G292" s="99" t="s">
        <v>5051</v>
      </c>
      <c r="J292" t="s">
        <v>25</v>
      </c>
    </row>
    <row r="293" spans="1:10">
      <c r="A293" s="99" t="s">
        <v>5050</v>
      </c>
      <c r="B293" s="113">
        <v>-9000</v>
      </c>
      <c r="C293" s="99">
        <v>1</v>
      </c>
      <c r="D293" s="99">
        <f t="shared" si="17"/>
        <v>2</v>
      </c>
      <c r="E293" s="99">
        <f t="shared" si="18"/>
        <v>0</v>
      </c>
      <c r="F293" s="99">
        <f t="shared" si="19"/>
        <v>-2290000</v>
      </c>
      <c r="G293" s="99"/>
    </row>
    <row r="294" spans="1:10">
      <c r="A294" s="99" t="s">
        <v>5053</v>
      </c>
      <c r="B294" s="113">
        <v>-1145000</v>
      </c>
      <c r="C294" s="99">
        <v>1</v>
      </c>
      <c r="D294" s="99">
        <f t="shared" si="17"/>
        <v>1</v>
      </c>
      <c r="E294" s="99">
        <f t="shared" si="18"/>
        <v>0</v>
      </c>
      <c r="F294" s="99">
        <f t="shared" si="19"/>
        <v>0</v>
      </c>
      <c r="G294" s="99" t="s">
        <v>5054</v>
      </c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358304</v>
      </c>
      <c r="C315" s="11"/>
      <c r="D315" s="11"/>
      <c r="E315" s="11"/>
      <c r="F315" s="29">
        <f>SUM(F2:F313)</f>
        <v>19268039363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17693332.748393022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K32" sqref="K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4757</v>
      </c>
      <c r="L15">
        <v>451474</v>
      </c>
      <c r="M15" s="247" t="s">
        <v>4937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4882</v>
      </c>
      <c r="B193" s="38">
        <v>-25000</v>
      </c>
      <c r="C193" s="11" t="s">
        <v>4889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8"/>
  <sheetViews>
    <sheetView topLeftCell="AB147" zoomScaleNormal="100" workbookViewId="0">
      <selection activeCell="AK161" sqref="AK16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4829</v>
      </c>
      <c r="AT10" s="73" t="s">
        <v>4832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4853</v>
      </c>
      <c r="AT11" s="73" t="s">
        <v>4854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4908</v>
      </c>
      <c r="AT12" s="73" t="s">
        <v>4909</v>
      </c>
    </row>
    <row r="13" spans="1:46" ht="30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>
        <v>8</v>
      </c>
      <c r="AR13" s="169">
        <v>-1170000</v>
      </c>
      <c r="AS13" s="214" t="s">
        <v>5050</v>
      </c>
      <c r="AT13" s="73" t="s">
        <v>5052</v>
      </c>
    </row>
    <row r="14" spans="1:46" ht="30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>
        <v>9</v>
      </c>
      <c r="AR14" s="169">
        <v>-800000</v>
      </c>
      <c r="AS14" s="214" t="s">
        <v>5053</v>
      </c>
      <c r="AT14" s="73" t="s">
        <v>5057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73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358304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/>
      <c r="AS16" s="214"/>
      <c r="AT16" s="214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169"/>
      <c r="AS17" s="214"/>
      <c r="AT17" s="214"/>
    </row>
    <row r="18" spans="1:54" ht="18.75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214"/>
      <c r="AR18" s="169">
        <f>SUM(AR6:AR16)</f>
        <v>6861907</v>
      </c>
      <c r="AS18" s="214"/>
      <c r="AT18" s="236" t="s">
        <v>5058</v>
      </c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214"/>
      <c r="AR19" s="214" t="s">
        <v>6</v>
      </c>
      <c r="AS19" s="214"/>
      <c r="AT19" s="214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31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249</v>
      </c>
      <c r="T20" s="168" t="s">
        <v>4309</v>
      </c>
      <c r="U20" s="168">
        <v>192.1</v>
      </c>
      <c r="V20" s="168">
        <f t="shared" ref="V20:V51" si="6">U20*(1+$N$82+$Q$15*S20/36500)</f>
        <v>230.94525150684933</v>
      </c>
      <c r="W20" s="32">
        <f t="shared" ref="W20:W33" si="7">V20*(1+$W$19/100)</f>
        <v>235.56415653698633</v>
      </c>
      <c r="X20" s="32">
        <f t="shared" ref="X20:X33" si="8">V20*(1+$X$19/100)</f>
        <v>240.1830615671233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-N34</f>
        <v>560315787.40821218</v>
      </c>
      <c r="M21" s="168" t="s">
        <v>4301</v>
      </c>
      <c r="N21" s="113">
        <f t="shared" ref="N21:N25" si="9">O21*P21</f>
        <v>254305463.30000001</v>
      </c>
      <c r="O21" s="99">
        <v>1257071</v>
      </c>
      <c r="P21" s="186">
        <f>P50</f>
        <v>202.3</v>
      </c>
      <c r="Q21" s="169">
        <v>595156</v>
      </c>
      <c r="R21" s="168" t="s">
        <v>4392</v>
      </c>
      <c r="S21" s="193">
        <f>S20-52</f>
        <v>197</v>
      </c>
      <c r="T21" s="168" t="s">
        <v>4395</v>
      </c>
      <c r="U21" s="168">
        <v>5808.5</v>
      </c>
      <c r="V21" s="168">
        <f t="shared" si="6"/>
        <v>6751.3548164383574</v>
      </c>
      <c r="W21" s="32">
        <f t="shared" si="7"/>
        <v>6886.381912767125</v>
      </c>
      <c r="X21" s="32">
        <f t="shared" si="8"/>
        <v>7021.4090090958916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-5281124</v>
      </c>
      <c r="M22" s="214" t="s">
        <v>4409</v>
      </c>
      <c r="N22" s="113">
        <f t="shared" si="9"/>
        <v>121607329.8</v>
      </c>
      <c r="O22" s="99">
        <v>159297</v>
      </c>
      <c r="P22" s="186">
        <f>P49</f>
        <v>763.4</v>
      </c>
      <c r="Q22" s="169">
        <v>1484689</v>
      </c>
      <c r="R22" s="168" t="s">
        <v>4429</v>
      </c>
      <c r="S22" s="168">
        <f>S21-7</f>
        <v>190</v>
      </c>
      <c r="T22" s="19" t="s">
        <v>4432</v>
      </c>
      <c r="U22" s="168">
        <v>5474</v>
      </c>
      <c r="V22" s="168">
        <f t="shared" si="6"/>
        <v>6333.1630465753433</v>
      </c>
      <c r="W22" s="32">
        <f t="shared" si="7"/>
        <v>6459.8263075068498</v>
      </c>
      <c r="X22" s="32">
        <f t="shared" si="8"/>
        <v>6586.4895684383573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4"/>
      <c r="L23" s="117"/>
      <c r="M23" s="214" t="s">
        <v>5059</v>
      </c>
      <c r="N23" s="113">
        <f t="shared" si="9"/>
        <v>66610.399999999994</v>
      </c>
      <c r="O23" s="99">
        <v>106</v>
      </c>
      <c r="P23" s="186">
        <f>P45</f>
        <v>628.4</v>
      </c>
      <c r="Q23" s="169">
        <v>2197673</v>
      </c>
      <c r="R23" s="168" t="s">
        <v>4429</v>
      </c>
      <c r="S23" s="168">
        <f>S22</f>
        <v>190</v>
      </c>
      <c r="T23" s="19" t="s">
        <v>4433</v>
      </c>
      <c r="U23" s="168">
        <v>5349</v>
      </c>
      <c r="V23" s="168">
        <f t="shared" si="6"/>
        <v>6188.5438684931514</v>
      </c>
      <c r="W23" s="32">
        <f>V23*(1+$W$19/100)</f>
        <v>6312.3147458630147</v>
      </c>
      <c r="X23" s="32">
        <f t="shared" si="8"/>
        <v>6436.0856232328779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L62</f>
        <v>514257740.40821218</v>
      </c>
      <c r="G24" s="95">
        <f t="shared" si="0"/>
        <v>-233951395.02627355</v>
      </c>
      <c r="H24" s="11"/>
      <c r="I24" s="96"/>
      <c r="J24" s="96"/>
      <c r="K24" s="214"/>
      <c r="L24" s="117"/>
      <c r="M24" s="214" t="s">
        <v>5043</v>
      </c>
      <c r="N24" s="113">
        <f t="shared" si="9"/>
        <v>73954.2</v>
      </c>
      <c r="O24" s="99">
        <v>138</v>
      </c>
      <c r="P24" s="186">
        <f>P48</f>
        <v>535.9</v>
      </c>
      <c r="Q24" s="169">
        <v>1353959</v>
      </c>
      <c r="R24" s="168" t="s">
        <v>4429</v>
      </c>
      <c r="S24" s="199">
        <f>S23</f>
        <v>190</v>
      </c>
      <c r="T24" s="19" t="s">
        <v>4475</v>
      </c>
      <c r="U24" s="168">
        <v>192.2</v>
      </c>
      <c r="V24" s="168">
        <f t="shared" si="6"/>
        <v>222.3664482191781</v>
      </c>
      <c r="W24" s="32">
        <f t="shared" si="7"/>
        <v>226.81377718356165</v>
      </c>
      <c r="X24" s="32">
        <f t="shared" si="8"/>
        <v>231.26110614794524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4394</v>
      </c>
      <c r="N25" s="113">
        <f t="shared" si="9"/>
        <v>45153875</v>
      </c>
      <c r="O25" s="99">
        <v>9250</v>
      </c>
      <c r="P25" s="99">
        <f>P47</f>
        <v>4881.5</v>
      </c>
      <c r="Q25" s="169">
        <v>1614398</v>
      </c>
      <c r="R25" s="168" t="s">
        <v>4437</v>
      </c>
      <c r="S25" s="168">
        <f>S24-3</f>
        <v>187</v>
      </c>
      <c r="T25" s="19" t="s">
        <v>4508</v>
      </c>
      <c r="U25" s="168">
        <v>184.6</v>
      </c>
      <c r="V25" s="168">
        <f t="shared" si="6"/>
        <v>213.14876931506851</v>
      </c>
      <c r="W25" s="32">
        <f t="shared" si="7"/>
        <v>217.41174470136988</v>
      </c>
      <c r="X25" s="32">
        <f t="shared" si="8"/>
        <v>221.67472008767126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4515</v>
      </c>
      <c r="S26" s="198">
        <f>S25-22</f>
        <v>165</v>
      </c>
      <c r="T26" s="168" t="s">
        <v>4516</v>
      </c>
      <c r="U26" s="168">
        <v>166.2</v>
      </c>
      <c r="V26" s="168">
        <f t="shared" si="6"/>
        <v>189.09826191780823</v>
      </c>
      <c r="W26" s="32">
        <f t="shared" si="7"/>
        <v>192.88022715616441</v>
      </c>
      <c r="X26" s="32">
        <f t="shared" si="8"/>
        <v>196.66219239452056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4459</v>
      </c>
      <c r="N27" s="113">
        <v>15</v>
      </c>
      <c r="O27" s="69" t="s">
        <v>25</v>
      </c>
      <c r="P27" s="99" t="s">
        <v>25</v>
      </c>
      <c r="Q27" s="169">
        <v>220803</v>
      </c>
      <c r="R27" s="168" t="s">
        <v>4231</v>
      </c>
      <c r="S27" s="198">
        <f>S26-1</f>
        <v>164</v>
      </c>
      <c r="T27" s="168" t="s">
        <v>4522</v>
      </c>
      <c r="U27" s="168">
        <v>166</v>
      </c>
      <c r="V27" s="168">
        <f t="shared" si="6"/>
        <v>188.74336438356167</v>
      </c>
      <c r="W27" s="32">
        <f t="shared" si="7"/>
        <v>192.51823167123291</v>
      </c>
      <c r="X27" s="32">
        <f t="shared" si="8"/>
        <v>196.29309895890415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4394</v>
      </c>
      <c r="N28" s="113">
        <f t="shared" ref="N28:N31" si="13">O28*P28</f>
        <v>5481924.5</v>
      </c>
      <c r="O28" s="69">
        <v>1123</v>
      </c>
      <c r="P28" s="99">
        <f>P47</f>
        <v>4881.5</v>
      </c>
      <c r="Q28" s="169">
        <v>1023940</v>
      </c>
      <c r="R28" s="168" t="s">
        <v>4523</v>
      </c>
      <c r="S28" s="198">
        <f>S27-2</f>
        <v>162</v>
      </c>
      <c r="T28" s="168" t="s">
        <v>4529</v>
      </c>
      <c r="U28" s="168">
        <v>160.19999999999999</v>
      </c>
      <c r="V28" s="168">
        <f t="shared" si="6"/>
        <v>181.9029304109589</v>
      </c>
      <c r="W28" s="32">
        <f t="shared" si="7"/>
        <v>185.54098901917808</v>
      </c>
      <c r="X28" s="32">
        <f t="shared" si="8"/>
        <v>189.17904762739727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Q28" s="96"/>
      <c r="AR28" s="96"/>
      <c r="AS28" s="96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4"/>
      <c r="L29" s="117"/>
      <c r="M29" s="190" t="s">
        <v>5059</v>
      </c>
      <c r="N29" s="113">
        <f t="shared" si="13"/>
        <v>66610.399999999994</v>
      </c>
      <c r="O29" s="69">
        <v>106</v>
      </c>
      <c r="P29" s="99">
        <f>P45</f>
        <v>628.4</v>
      </c>
      <c r="Q29" s="169">
        <v>168846</v>
      </c>
      <c r="R29" s="168" t="s">
        <v>3691</v>
      </c>
      <c r="S29" s="198">
        <f>S28-28</f>
        <v>134</v>
      </c>
      <c r="T29" s="168" t="s">
        <v>4620</v>
      </c>
      <c r="U29" s="168">
        <v>172.2</v>
      </c>
      <c r="V29" s="168">
        <f t="shared" si="6"/>
        <v>191.82985643835619</v>
      </c>
      <c r="W29" s="32">
        <f t="shared" si="7"/>
        <v>195.66645356712331</v>
      </c>
      <c r="X29" s="32">
        <f t="shared" si="8"/>
        <v>199.50305069589044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Q29" s="96"/>
      <c r="AR29" s="96"/>
      <c r="AS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4"/>
      <c r="L30" s="117"/>
      <c r="M30" s="190" t="s">
        <v>5043</v>
      </c>
      <c r="N30" s="113">
        <f t="shared" si="13"/>
        <v>68595.199999999997</v>
      </c>
      <c r="O30" s="69">
        <v>128</v>
      </c>
      <c r="P30" s="99">
        <f>P48</f>
        <v>535.9</v>
      </c>
      <c r="Q30" s="169">
        <v>250962</v>
      </c>
      <c r="R30" s="168" t="s">
        <v>4660</v>
      </c>
      <c r="S30" s="198">
        <f>S29-10</f>
        <v>124</v>
      </c>
      <c r="T30" s="168" t="s">
        <v>4661</v>
      </c>
      <c r="U30" s="168">
        <v>5315.5</v>
      </c>
      <c r="V30" s="168">
        <f t="shared" si="6"/>
        <v>5880.6614356164391</v>
      </c>
      <c r="W30" s="32">
        <f t="shared" si="7"/>
        <v>5998.2746643287683</v>
      </c>
      <c r="X30" s="32">
        <f t="shared" si="8"/>
        <v>6115.8878930410965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4438</v>
      </c>
      <c r="N31" s="113">
        <f t="shared" si="13"/>
        <v>32934237.700000003</v>
      </c>
      <c r="O31" s="69">
        <v>162799</v>
      </c>
      <c r="P31" s="99">
        <f>P50</f>
        <v>202.3</v>
      </c>
      <c r="Q31" s="169">
        <v>350718</v>
      </c>
      <c r="R31" s="214" t="s">
        <v>4699</v>
      </c>
      <c r="S31" s="198">
        <f>S30-7</f>
        <v>117</v>
      </c>
      <c r="T31" s="214" t="s">
        <v>4700</v>
      </c>
      <c r="U31" s="214">
        <v>502.3</v>
      </c>
      <c r="V31" s="214">
        <f t="shared" si="6"/>
        <v>553.00890520547955</v>
      </c>
      <c r="W31" s="32">
        <f t="shared" si="7"/>
        <v>564.06908330958913</v>
      </c>
      <c r="X31" s="32">
        <f t="shared" si="8"/>
        <v>575.12926141369871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T31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4" t="s">
        <v>3684</v>
      </c>
      <c r="S32" s="198">
        <f>S31-15</f>
        <v>102</v>
      </c>
      <c r="T32" s="214" t="s">
        <v>4739</v>
      </c>
      <c r="U32" s="214">
        <v>486.4</v>
      </c>
      <c r="V32" s="214">
        <f t="shared" si="6"/>
        <v>529.90681424657532</v>
      </c>
      <c r="W32" s="32">
        <f t="shared" si="7"/>
        <v>540.50495053150689</v>
      </c>
      <c r="X32" s="32">
        <f t="shared" si="8"/>
        <v>551.10308681643835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T32" t="s">
        <v>25</v>
      </c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4" t="s">
        <v>4740</v>
      </c>
      <c r="S33" s="198">
        <f>S32-1</f>
        <v>101</v>
      </c>
      <c r="T33" s="214" t="s">
        <v>4741</v>
      </c>
      <c r="U33" s="214">
        <v>476.1</v>
      </c>
      <c r="V33" s="214">
        <f t="shared" si="6"/>
        <v>518.32028712328781</v>
      </c>
      <c r="W33" s="32">
        <f t="shared" si="7"/>
        <v>528.68669286575357</v>
      </c>
      <c r="X33" s="32">
        <f t="shared" si="8"/>
        <v>539.05309860821933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-S144</f>
        <v>-560315787.40821218</v>
      </c>
      <c r="O34" s="96"/>
      <c r="P34" s="96" t="s">
        <v>25</v>
      </c>
      <c r="Q34" s="169">
        <v>1563192</v>
      </c>
      <c r="R34" s="214" t="s">
        <v>4740</v>
      </c>
      <c r="S34" s="198">
        <f>S33</f>
        <v>101</v>
      </c>
      <c r="T34" s="214" t="s">
        <v>4742</v>
      </c>
      <c r="U34" s="214">
        <v>168.8</v>
      </c>
      <c r="V34" s="214">
        <f t="shared" si="6"/>
        <v>183.76909150684935</v>
      </c>
      <c r="W34" s="32">
        <f t="shared" ref="W34:W51" si="14">V34*(1+$W$19/100)</f>
        <v>187.44447333698633</v>
      </c>
      <c r="X34" s="32">
        <f t="shared" ref="X34:X51" si="15">V34*(1+$X$19/100)</f>
        <v>191.11985516712332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15499033</v>
      </c>
      <c r="R35" s="214" t="s">
        <v>4758</v>
      </c>
      <c r="S35" s="198">
        <f>S34-6</f>
        <v>95</v>
      </c>
      <c r="T35" s="214" t="s">
        <v>4762</v>
      </c>
      <c r="U35" s="214">
        <v>525.1</v>
      </c>
      <c r="V35" s="214">
        <f t="shared" si="6"/>
        <v>569.24868164383565</v>
      </c>
      <c r="W35" s="32">
        <f t="shared" si="14"/>
        <v>580.63365527671237</v>
      </c>
      <c r="X35" s="32">
        <f t="shared" si="15"/>
        <v>592.0186289095891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فیزیکی'!M48*10*P51</f>
        <v>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30673673</v>
      </c>
      <c r="R36" s="214" t="s">
        <v>4766</v>
      </c>
      <c r="S36" s="198">
        <f>S35-1</f>
        <v>94</v>
      </c>
      <c r="T36" s="214" t="s">
        <v>4771</v>
      </c>
      <c r="U36" s="214">
        <v>529.79999999999995</v>
      </c>
      <c r="V36" s="214">
        <f t="shared" si="6"/>
        <v>573.93742027397263</v>
      </c>
      <c r="W36" s="32">
        <f t="shared" si="14"/>
        <v>585.41616867945208</v>
      </c>
      <c r="X36" s="32">
        <f t="shared" si="15"/>
        <v>596.89491708493154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4788</v>
      </c>
      <c r="L37" s="117">
        <v>-47500000</v>
      </c>
      <c r="M37" s="73"/>
      <c r="N37" s="113"/>
      <c r="O37" s="96" t="s">
        <v>25</v>
      </c>
      <c r="P37" s="96" t="s">
        <v>25</v>
      </c>
      <c r="Q37" s="169">
        <v>5420397</v>
      </c>
      <c r="R37" s="214" t="s">
        <v>4766</v>
      </c>
      <c r="S37" s="198">
        <f>S36</f>
        <v>94</v>
      </c>
      <c r="T37" s="214" t="s">
        <v>4772</v>
      </c>
      <c r="U37" s="214">
        <v>5395.9</v>
      </c>
      <c r="V37" s="214">
        <f t="shared" si="6"/>
        <v>5845.4302115068494</v>
      </c>
      <c r="W37" s="32">
        <f t="shared" si="14"/>
        <v>5962.3388157369864</v>
      </c>
      <c r="X37" s="32">
        <f t="shared" si="15"/>
        <v>6079.2474199671233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فیزیکی'!M47+3)*10*P51</f>
        <v>14040000</v>
      </c>
      <c r="O38" s="96"/>
      <c r="P38" s="96" t="s">
        <v>25</v>
      </c>
      <c r="Q38" s="169">
        <v>5809833</v>
      </c>
      <c r="R38" s="214" t="s">
        <v>4874</v>
      </c>
      <c r="S38" s="198">
        <f>S37-21</f>
        <v>73</v>
      </c>
      <c r="T38" s="214" t="s">
        <v>4878</v>
      </c>
      <c r="U38" s="214">
        <v>587.29999999999995</v>
      </c>
      <c r="V38" s="214">
        <f t="shared" si="6"/>
        <v>626.76656000000003</v>
      </c>
      <c r="W38" s="32">
        <f t="shared" si="14"/>
        <v>639.3018912</v>
      </c>
      <c r="X38" s="32">
        <f t="shared" si="15"/>
        <v>651.83722240000009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16.5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4787</v>
      </c>
      <c r="N39" s="113">
        <v>-18000000</v>
      </c>
      <c r="O39" s="245" t="s">
        <v>25</v>
      </c>
      <c r="P39" s="114"/>
      <c r="Q39" s="169">
        <v>164707</v>
      </c>
      <c r="R39" s="214" t="s">
        <v>4930</v>
      </c>
      <c r="S39" s="198">
        <f>S38-28</f>
        <v>45</v>
      </c>
      <c r="T39" s="214" t="s">
        <v>4931</v>
      </c>
      <c r="U39" s="214">
        <v>633</v>
      </c>
      <c r="V39" s="214">
        <f t="shared" si="6"/>
        <v>661.94110684931513</v>
      </c>
      <c r="W39" s="32">
        <f t="shared" si="14"/>
        <v>675.17992898630143</v>
      </c>
      <c r="X39" s="32">
        <f t="shared" si="15"/>
        <v>688.41875112328773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4789</v>
      </c>
      <c r="N40" s="113">
        <v>-47000000</v>
      </c>
      <c r="O40" s="96"/>
      <c r="P40" s="96" t="s">
        <v>25</v>
      </c>
      <c r="Q40" s="169">
        <v>1204691</v>
      </c>
      <c r="R40" s="214" t="s">
        <v>4995</v>
      </c>
      <c r="S40" s="198">
        <f>S39-20</f>
        <v>25</v>
      </c>
      <c r="T40" s="214" t="s">
        <v>4996</v>
      </c>
      <c r="U40" s="214">
        <v>218.5</v>
      </c>
      <c r="V40" s="214">
        <f t="shared" si="6"/>
        <v>225.13761095890413</v>
      </c>
      <c r="W40" s="32">
        <f t="shared" si="14"/>
        <v>229.64036317808223</v>
      </c>
      <c r="X40" s="32">
        <f t="shared" si="15"/>
        <v>234.14311539726032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/>
      <c r="P41" s="96" t="s">
        <v>25</v>
      </c>
      <c r="Q41" s="169">
        <v>15011877</v>
      </c>
      <c r="R41" s="214" t="s">
        <v>4999</v>
      </c>
      <c r="S41" s="198">
        <f>S40-3</f>
        <v>22</v>
      </c>
      <c r="T41" s="214" t="s">
        <v>5004</v>
      </c>
      <c r="U41" s="214">
        <v>197.1</v>
      </c>
      <c r="V41" s="214">
        <f t="shared" si="6"/>
        <v>202.63392000000002</v>
      </c>
      <c r="W41" s="32">
        <f t="shared" si="14"/>
        <v>206.68659840000001</v>
      </c>
      <c r="X41" s="32">
        <f t="shared" si="15"/>
        <v>210.73927680000003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5023</v>
      </c>
      <c r="L42" s="117">
        <v>0</v>
      </c>
      <c r="M42" s="168" t="s">
        <v>4458</v>
      </c>
      <c r="N42" s="113">
        <v>0</v>
      </c>
      <c r="O42" t="s">
        <v>5070</v>
      </c>
      <c r="P42" t="s">
        <v>25</v>
      </c>
      <c r="Q42" s="169">
        <v>35272425</v>
      </c>
      <c r="R42" s="214" t="s">
        <v>5016</v>
      </c>
      <c r="S42" s="198">
        <f>S41-5</f>
        <v>17</v>
      </c>
      <c r="T42" s="214" t="s">
        <v>5019</v>
      </c>
      <c r="U42" s="214">
        <v>4730.8999999999996</v>
      </c>
      <c r="V42" s="214">
        <f t="shared" si="6"/>
        <v>4845.5822005479458</v>
      </c>
      <c r="W42" s="32">
        <f t="shared" si="14"/>
        <v>4942.493844558905</v>
      </c>
      <c r="X42" s="32">
        <f t="shared" si="15"/>
        <v>5039.4054885698642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3098904</v>
      </c>
      <c r="R43" s="214" t="s">
        <v>5017</v>
      </c>
      <c r="S43" s="198">
        <f>S42</f>
        <v>17</v>
      </c>
      <c r="T43" s="214" t="s">
        <v>5020</v>
      </c>
      <c r="U43" s="214">
        <v>671.9</v>
      </c>
      <c r="V43" s="214">
        <f t="shared" si="6"/>
        <v>688.18759232876721</v>
      </c>
      <c r="W43" s="32">
        <f t="shared" si="14"/>
        <v>701.95134417534257</v>
      </c>
      <c r="X43" s="32">
        <f t="shared" si="15"/>
        <v>715.71509602191793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/>
      <c r="L44" s="117"/>
      <c r="M44" s="21" t="s">
        <v>4582</v>
      </c>
      <c r="N44" s="117">
        <f t="shared" ref="N44:N51" si="16">O44*P44</f>
        <v>907000</v>
      </c>
      <c r="O44" s="69">
        <v>2000</v>
      </c>
      <c r="P44" s="69">
        <v>453.5</v>
      </c>
      <c r="Q44" s="169">
        <v>12803120</v>
      </c>
      <c r="R44" s="214" t="s">
        <v>5018</v>
      </c>
      <c r="S44" s="198">
        <f>S43</f>
        <v>17</v>
      </c>
      <c r="T44" s="214" t="s">
        <v>5021</v>
      </c>
      <c r="U44" s="214">
        <v>194.4</v>
      </c>
      <c r="V44" s="214">
        <f t="shared" si="6"/>
        <v>199.11246904109592</v>
      </c>
      <c r="W44" s="32">
        <f t="shared" si="14"/>
        <v>203.09471842191783</v>
      </c>
      <c r="X44" s="32">
        <f t="shared" si="15"/>
        <v>207.07696780273977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5059</v>
      </c>
      <c r="N45" s="117">
        <f t="shared" si="16"/>
        <v>66610.399999999994</v>
      </c>
      <c r="O45" s="69">
        <v>106</v>
      </c>
      <c r="P45" s="69">
        <v>628.4</v>
      </c>
      <c r="Q45" s="169">
        <v>100562</v>
      </c>
      <c r="R45" s="214" t="s">
        <v>5028</v>
      </c>
      <c r="S45" s="198">
        <f>S44-6</f>
        <v>11</v>
      </c>
      <c r="T45" s="214" t="s">
        <v>5029</v>
      </c>
      <c r="U45" s="214">
        <v>190.3</v>
      </c>
      <c r="V45" s="214">
        <f t="shared" si="6"/>
        <v>194.0371791780822</v>
      </c>
      <c r="W45" s="32">
        <f t="shared" si="14"/>
        <v>197.91792276164384</v>
      </c>
      <c r="X45" s="32">
        <f t="shared" si="15"/>
        <v>201.7986663452055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4568</v>
      </c>
      <c r="N46" s="117">
        <f t="shared" si="16"/>
        <v>68510</v>
      </c>
      <c r="O46" s="69">
        <v>50</v>
      </c>
      <c r="P46" s="69">
        <v>1370.2</v>
      </c>
      <c r="Q46" s="169">
        <v>201504198</v>
      </c>
      <c r="R46" s="214" t="s">
        <v>5032</v>
      </c>
      <c r="S46" s="198">
        <f>S45-2</f>
        <v>9</v>
      </c>
      <c r="T46" s="214" t="s">
        <v>5036</v>
      </c>
      <c r="U46" s="214">
        <v>195.5</v>
      </c>
      <c r="V46" s="214">
        <f t="shared" si="6"/>
        <v>199.03935342465758</v>
      </c>
      <c r="W46" s="32">
        <f t="shared" si="14"/>
        <v>203.02014049315073</v>
      </c>
      <c r="X46" s="32">
        <f t="shared" si="15"/>
        <v>207.00092756164389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 t="s">
        <v>25</v>
      </c>
      <c r="L47" s="117"/>
      <c r="M47" s="19" t="s">
        <v>4394</v>
      </c>
      <c r="N47" s="113">
        <f t="shared" si="16"/>
        <v>162251297</v>
      </c>
      <c r="O47" s="69">
        <v>33238</v>
      </c>
      <c r="P47" s="69">
        <v>4881.5</v>
      </c>
      <c r="Q47" s="169">
        <v>58222</v>
      </c>
      <c r="R47" s="214" t="s">
        <v>5034</v>
      </c>
      <c r="S47" s="198">
        <f>S46-1</f>
        <v>8</v>
      </c>
      <c r="T47" s="214" t="s">
        <v>5044</v>
      </c>
      <c r="U47" s="214">
        <v>420</v>
      </c>
      <c r="V47" s="214">
        <f t="shared" si="6"/>
        <v>427.28153424657535</v>
      </c>
      <c r="W47" s="32">
        <f t="shared" si="14"/>
        <v>435.82716493150684</v>
      </c>
      <c r="X47" s="32">
        <f t="shared" si="15"/>
        <v>444.3727956164384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5043</v>
      </c>
      <c r="N48" s="113">
        <f t="shared" si="16"/>
        <v>73954.2</v>
      </c>
      <c r="O48" s="69">
        <v>138</v>
      </c>
      <c r="P48" s="69">
        <v>535.9</v>
      </c>
      <c r="Q48" s="169">
        <v>113410</v>
      </c>
      <c r="R48" s="214" t="s">
        <v>5042</v>
      </c>
      <c r="S48" s="198">
        <f>S47-1</f>
        <v>7</v>
      </c>
      <c r="T48" s="214" t="s">
        <v>5045</v>
      </c>
      <c r="U48" s="214">
        <v>197.7</v>
      </c>
      <c r="V48" s="214">
        <f t="shared" si="6"/>
        <v>200.97586191780823</v>
      </c>
      <c r="W48" s="32">
        <f t="shared" si="14"/>
        <v>204.9953791561644</v>
      </c>
      <c r="X48" s="32">
        <f t="shared" si="15"/>
        <v>209.01489639452058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4409</v>
      </c>
      <c r="N49" s="117">
        <f t="shared" si="16"/>
        <v>81557839</v>
      </c>
      <c r="O49" s="69">
        <v>106835</v>
      </c>
      <c r="P49" s="69">
        <v>763.4</v>
      </c>
      <c r="Q49" s="169">
        <v>60694</v>
      </c>
      <c r="R49" s="214" t="s">
        <v>5053</v>
      </c>
      <c r="S49" s="198">
        <f>S48-4</f>
        <v>3</v>
      </c>
      <c r="T49" s="214" t="s">
        <v>5060</v>
      </c>
      <c r="U49" s="214">
        <v>570</v>
      </c>
      <c r="V49" s="214">
        <f t="shared" si="6"/>
        <v>577.69578082191788</v>
      </c>
      <c r="W49" s="32">
        <f t="shared" si="14"/>
        <v>589.2496964383563</v>
      </c>
      <c r="X49" s="32">
        <f t="shared" si="15"/>
        <v>600.8036120547946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56"/>
      <c r="L50" s="117"/>
      <c r="M50" s="19" t="s">
        <v>4179</v>
      </c>
      <c r="N50" s="113">
        <f t="shared" si="16"/>
        <v>474446098</v>
      </c>
      <c r="O50" s="99">
        <v>2345260</v>
      </c>
      <c r="P50" s="99">
        <v>202.3</v>
      </c>
      <c r="Q50" s="169">
        <v>104281</v>
      </c>
      <c r="R50" s="214" t="s">
        <v>5066</v>
      </c>
      <c r="S50" s="198">
        <f>S49-3</f>
        <v>0</v>
      </c>
      <c r="T50" s="214" t="s">
        <v>5067</v>
      </c>
      <c r="U50" s="214">
        <v>200</v>
      </c>
      <c r="V50" s="214">
        <f t="shared" si="6"/>
        <v>202.24</v>
      </c>
      <c r="W50" s="32">
        <f t="shared" si="14"/>
        <v>206.28480000000002</v>
      </c>
      <c r="X50" s="32">
        <f t="shared" si="15"/>
        <v>210.32960000000003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21" t="s">
        <v>1086</v>
      </c>
      <c r="N51" s="117">
        <f t="shared" si="16"/>
        <v>0</v>
      </c>
      <c r="O51" s="69">
        <v>0</v>
      </c>
      <c r="P51" s="69">
        <v>468000</v>
      </c>
      <c r="Q51" s="169"/>
      <c r="R51" s="168"/>
      <c r="S51" s="168"/>
      <c r="T51" s="168"/>
      <c r="U51" s="168"/>
      <c r="V51" s="214">
        <f t="shared" si="6"/>
        <v>0</v>
      </c>
      <c r="W51" s="32">
        <f t="shared" si="14"/>
        <v>0</v>
      </c>
      <c r="X51" s="32">
        <f t="shared" si="15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  <c r="AQ51" s="96"/>
      <c r="AR51" s="96"/>
      <c r="AS51" s="96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73"/>
      <c r="N52" s="117"/>
      <c r="O52" s="122"/>
      <c r="P52" s="122"/>
      <c r="Q52" s="169">
        <f>SUM(N21:N25)-SUM(Q20:Q51)</f>
        <v>46560383.699999988</v>
      </c>
      <c r="R52" s="168"/>
      <c r="S52" s="168" t="s">
        <v>25</v>
      </c>
      <c r="T52" s="168"/>
      <c r="U52" s="168"/>
      <c r="V52" s="168"/>
      <c r="W52" s="32"/>
      <c r="X52" s="32"/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  <c r="AQ52" s="96"/>
      <c r="AR52" s="96"/>
      <c r="AS52" s="96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68" t="s">
        <v>1152</v>
      </c>
      <c r="N53" s="117">
        <v>14908</v>
      </c>
      <c r="O53" s="96"/>
      <c r="P53" t="s">
        <v>25</v>
      </c>
      <c r="R53" s="115"/>
      <c r="S53" s="115" t="s">
        <v>25</v>
      </c>
      <c r="T53" s="115"/>
      <c r="U53" s="115" t="s">
        <v>25</v>
      </c>
      <c r="V53" s="115"/>
      <c r="W53" s="195" t="s">
        <v>25</v>
      </c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99"/>
      <c r="M54" s="168" t="s">
        <v>1153</v>
      </c>
      <c r="N54" s="117">
        <v>5282</v>
      </c>
      <c r="O54" s="96"/>
      <c r="P54" t="s">
        <v>25</v>
      </c>
      <c r="Q54" s="96"/>
      <c r="R54" s="115"/>
      <c r="S54" s="115"/>
      <c r="T54" s="115" t="s">
        <v>25</v>
      </c>
      <c r="U54" s="115" t="s">
        <v>25</v>
      </c>
      <c r="V54" s="115"/>
      <c r="W54" s="195"/>
      <c r="X54" s="195" t="s">
        <v>25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/>
      <c r="L55" s="117"/>
      <c r="M55" s="168"/>
      <c r="N55" s="113"/>
      <c r="O55" s="115"/>
      <c r="P55" s="115"/>
      <c r="Q55" s="168" t="s">
        <v>657</v>
      </c>
      <c r="R55" s="168"/>
      <c r="S55" s="168"/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 t="s">
        <v>25</v>
      </c>
      <c r="L56" s="117"/>
      <c r="M56" s="168" t="s">
        <v>4180</v>
      </c>
      <c r="N56" s="113">
        <f>-O56*P56</f>
        <v>-8827765.0999999996</v>
      </c>
      <c r="O56" s="99">
        <v>43637</v>
      </c>
      <c r="P56" s="99">
        <f>P50</f>
        <v>202.3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/>
      <c r="L57" s="117"/>
      <c r="M57" s="168"/>
      <c r="N57" s="113"/>
      <c r="Q57" s="168">
        <v>0</v>
      </c>
      <c r="R57" s="168" t="s">
        <v>4172</v>
      </c>
      <c r="S57" s="168">
        <f>S81</f>
        <v>249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168"/>
      <c r="L58" s="117"/>
      <c r="M58" s="168"/>
      <c r="N58" s="113"/>
      <c r="Q58" s="169">
        <v>863944</v>
      </c>
      <c r="R58" s="168" t="s">
        <v>4437</v>
      </c>
      <c r="S58" s="168">
        <f>S57-62</f>
        <v>187</v>
      </c>
      <c r="T58" s="191" t="s">
        <v>4509</v>
      </c>
      <c r="U58" s="168">
        <v>184.6</v>
      </c>
      <c r="V58" s="168">
        <f t="shared" ref="V58:V72" si="17">U58*(1+$N$82+$Q$15*S58/36500)</f>
        <v>213.14876931506851</v>
      </c>
      <c r="W58" s="32">
        <f t="shared" ref="W58:W72" si="18">V58*(1+$W$19/100)</f>
        <v>217.41174470136988</v>
      </c>
      <c r="X58" s="32">
        <f t="shared" ref="X58:X72" si="19">V58*(1+$X$19/100)</f>
        <v>221.67472008767126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 t="s">
        <v>4445</v>
      </c>
      <c r="N59" s="113">
        <f>-S145</f>
        <v>-17780108.761881441</v>
      </c>
      <c r="Q59" s="169">
        <v>1692313</v>
      </c>
      <c r="R59" s="168" t="s">
        <v>4512</v>
      </c>
      <c r="S59" s="198">
        <f>S58-21</f>
        <v>166</v>
      </c>
      <c r="T59" s="190" t="s">
        <v>4513</v>
      </c>
      <c r="U59" s="168">
        <v>168.5</v>
      </c>
      <c r="V59" s="168">
        <f t="shared" si="17"/>
        <v>191.84440547945206</v>
      </c>
      <c r="W59" s="32">
        <f t="shared" si="18"/>
        <v>195.6812935890411</v>
      </c>
      <c r="X59" s="32">
        <f t="shared" si="19"/>
        <v>199.51818169863014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 t="s">
        <v>4717</v>
      </c>
      <c r="N60" s="113">
        <f>50*P51</f>
        <v>23400000</v>
      </c>
      <c r="P60" t="s">
        <v>25</v>
      </c>
      <c r="Q60" s="169">
        <v>101153</v>
      </c>
      <c r="R60" s="168" t="s">
        <v>4515</v>
      </c>
      <c r="S60" s="198">
        <f>S59-1</f>
        <v>165</v>
      </c>
      <c r="T60" s="190" t="s">
        <v>4517</v>
      </c>
      <c r="U60" s="168">
        <v>166.7</v>
      </c>
      <c r="V60" s="168">
        <f t="shared" si="17"/>
        <v>189.66714958904109</v>
      </c>
      <c r="W60" s="32">
        <f t="shared" si="18"/>
        <v>193.46049258082192</v>
      </c>
      <c r="X60" s="32">
        <f t="shared" si="19"/>
        <v>197.25383557260272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O61" t="s">
        <v>25</v>
      </c>
      <c r="P61" t="s">
        <v>25</v>
      </c>
      <c r="Q61" s="169">
        <v>183105</v>
      </c>
      <c r="R61" s="168" t="s">
        <v>4231</v>
      </c>
      <c r="S61" s="198">
        <f>S60-1</f>
        <v>164</v>
      </c>
      <c r="T61" s="190" t="s">
        <v>4521</v>
      </c>
      <c r="U61" s="168">
        <v>166.6</v>
      </c>
      <c r="V61" s="168">
        <f t="shared" si="17"/>
        <v>189.42556931506851</v>
      </c>
      <c r="W61" s="32">
        <f t="shared" si="18"/>
        <v>193.21408070136988</v>
      </c>
      <c r="X61" s="32">
        <f t="shared" si="19"/>
        <v>197.00259208767127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 t="s">
        <v>598</v>
      </c>
      <c r="L62" s="113">
        <f>SUM(L16:L49)</f>
        <v>514257740.40821218</v>
      </c>
      <c r="M62" s="168"/>
      <c r="N62" s="113">
        <f>SUM(N16:N61)</f>
        <v>569543231.82990623</v>
      </c>
      <c r="Q62" s="169">
        <v>168846</v>
      </c>
      <c r="R62" s="168" t="s">
        <v>3691</v>
      </c>
      <c r="S62" s="198">
        <f>S61-30</f>
        <v>134</v>
      </c>
      <c r="T62" s="190" t="s">
        <v>4620</v>
      </c>
      <c r="U62" s="168">
        <v>172.2</v>
      </c>
      <c r="V62" s="168">
        <f t="shared" si="17"/>
        <v>191.82985643835619</v>
      </c>
      <c r="W62" s="32">
        <f t="shared" si="18"/>
        <v>195.66645356712331</v>
      </c>
      <c r="X62" s="32">
        <f t="shared" si="19"/>
        <v>199.50305069589044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 t="s">
        <v>599</v>
      </c>
      <c r="L63" s="113">
        <f>L16+L17+L25</f>
        <v>923077</v>
      </c>
      <c r="M63" s="168"/>
      <c r="N63" s="113">
        <f>N16+N17+N35</f>
        <v>641053</v>
      </c>
      <c r="Q63" s="169">
        <v>250962</v>
      </c>
      <c r="R63" s="168" t="s">
        <v>4660</v>
      </c>
      <c r="S63" s="198">
        <f>S62-10</f>
        <v>124</v>
      </c>
      <c r="T63" s="190" t="s">
        <v>4661</v>
      </c>
      <c r="U63" s="168">
        <v>5315.5</v>
      </c>
      <c r="V63" s="168">
        <f t="shared" si="17"/>
        <v>5880.6614356164391</v>
      </c>
      <c r="W63" s="32">
        <f t="shared" si="18"/>
        <v>5998.2746643287683</v>
      </c>
      <c r="X63" s="32">
        <f t="shared" si="19"/>
        <v>6115.8878930410965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56" t="s">
        <v>716</v>
      </c>
      <c r="L64" s="1">
        <f>L62+N7</f>
        <v>584257740.40821218</v>
      </c>
      <c r="M64" s="113"/>
      <c r="N64" s="168"/>
      <c r="O64" s="115"/>
      <c r="P64" s="115"/>
      <c r="Q64" s="169">
        <v>6278475</v>
      </c>
      <c r="R64" s="5" t="s">
        <v>4896</v>
      </c>
      <c r="S64" s="198">
        <f>S63-65</f>
        <v>59</v>
      </c>
      <c r="T64" s="190" t="s">
        <v>4899</v>
      </c>
      <c r="U64" s="214">
        <v>6250.1</v>
      </c>
      <c r="V64" s="214">
        <f t="shared" si="17"/>
        <v>6602.9823583561647</v>
      </c>
      <c r="W64" s="32">
        <f t="shared" si="18"/>
        <v>6735.042005523288</v>
      </c>
      <c r="X64" s="32">
        <f t="shared" si="19"/>
        <v>6867.1016526904114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O65" s="96"/>
      <c r="P65" s="96"/>
      <c r="Q65" s="169">
        <v>19918023</v>
      </c>
      <c r="R65" s="5" t="s">
        <v>4896</v>
      </c>
      <c r="S65" s="198">
        <f>S64</f>
        <v>59</v>
      </c>
      <c r="T65" s="190" t="s">
        <v>4900</v>
      </c>
      <c r="U65" s="214">
        <v>183</v>
      </c>
      <c r="V65" s="214">
        <f t="shared" si="17"/>
        <v>193.33223013698631</v>
      </c>
      <c r="W65" s="32">
        <f t="shared" si="18"/>
        <v>197.19887473972605</v>
      </c>
      <c r="X65" s="32">
        <f t="shared" si="19"/>
        <v>201.06551934246576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M66" s="25"/>
      <c r="O66" t="s">
        <v>25</v>
      </c>
      <c r="Q66" s="169">
        <v>1200301</v>
      </c>
      <c r="R66" s="19" t="s">
        <v>4995</v>
      </c>
      <c r="S66" s="198">
        <f>S65-34</f>
        <v>25</v>
      </c>
      <c r="T66" s="190" t="s">
        <v>4997</v>
      </c>
      <c r="U66" s="214">
        <v>218.5</v>
      </c>
      <c r="V66" s="214">
        <f t="shared" si="17"/>
        <v>225.13761095890413</v>
      </c>
      <c r="W66" s="32">
        <f t="shared" si="18"/>
        <v>229.64036317808223</v>
      </c>
      <c r="X66" s="32">
        <f t="shared" si="19"/>
        <v>234.14311539726032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25" t="s">
        <v>4080</v>
      </c>
      <c r="N67" s="99" t="s">
        <v>452</v>
      </c>
      <c r="O67" s="113">
        <f>O50*25</f>
        <v>58631500</v>
      </c>
      <c r="P67" s="115"/>
      <c r="Q67" s="169">
        <v>349201</v>
      </c>
      <c r="R67" s="19" t="s">
        <v>5013</v>
      </c>
      <c r="S67" s="198">
        <f>S66-8</f>
        <v>17</v>
      </c>
      <c r="T67" s="190" t="s">
        <v>5014</v>
      </c>
      <c r="U67" s="214">
        <v>4574</v>
      </c>
      <c r="V67" s="214">
        <f t="shared" si="17"/>
        <v>4684.8787726027404</v>
      </c>
      <c r="W67" s="32">
        <f t="shared" si="18"/>
        <v>4778.5763480547948</v>
      </c>
      <c r="X67" s="32">
        <f t="shared" si="19"/>
        <v>4872.2739235068502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M68" s="177"/>
      <c r="N68" s="99" t="s">
        <v>1087</v>
      </c>
      <c r="O68" s="113">
        <f>O31*25</f>
        <v>4069975</v>
      </c>
      <c r="P68" s="115"/>
      <c r="Q68" s="169">
        <v>6135206</v>
      </c>
      <c r="R68" s="19" t="s">
        <v>5032</v>
      </c>
      <c r="S68" s="198">
        <f>S67-8</f>
        <v>9</v>
      </c>
      <c r="T68" s="190" t="s">
        <v>5033</v>
      </c>
      <c r="U68" s="214">
        <v>196.2</v>
      </c>
      <c r="V68" s="214">
        <f t="shared" si="17"/>
        <v>199.75202630136988</v>
      </c>
      <c r="W68" s="32">
        <f t="shared" si="18"/>
        <v>203.74706682739728</v>
      </c>
      <c r="X68" s="32">
        <f t="shared" si="19"/>
        <v>207.74210735342467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M69" s="96" t="s">
        <v>4825</v>
      </c>
      <c r="N69" s="99" t="s">
        <v>751</v>
      </c>
      <c r="O69" s="113">
        <f>O21*25</f>
        <v>31426775</v>
      </c>
      <c r="Q69" s="169">
        <v>54003</v>
      </c>
      <c r="R69" s="19" t="s">
        <v>5034</v>
      </c>
      <c r="S69" s="198">
        <f>S68-1</f>
        <v>8</v>
      </c>
      <c r="T69" s="190" t="s">
        <v>5046</v>
      </c>
      <c r="U69" s="214">
        <v>420</v>
      </c>
      <c r="V69" s="214">
        <f t="shared" si="17"/>
        <v>427.28153424657535</v>
      </c>
      <c r="W69" s="32">
        <f t="shared" si="18"/>
        <v>435.82716493150684</v>
      </c>
      <c r="X69" s="32">
        <f t="shared" si="19"/>
        <v>444.3727956164384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M70" s="122" t="s">
        <v>4410</v>
      </c>
      <c r="O70" s="114"/>
      <c r="Q70" s="169">
        <v>60694</v>
      </c>
      <c r="R70" s="19" t="s">
        <v>5053</v>
      </c>
      <c r="S70" s="198">
        <f>S69-5</f>
        <v>3</v>
      </c>
      <c r="T70" s="190" t="s">
        <v>5060</v>
      </c>
      <c r="U70" s="214">
        <v>570</v>
      </c>
      <c r="V70" s="214">
        <f t="shared" si="17"/>
        <v>577.69578082191788</v>
      </c>
      <c r="W70" s="32">
        <f t="shared" si="18"/>
        <v>589.2496964383563</v>
      </c>
      <c r="X70" s="32">
        <f t="shared" si="19"/>
        <v>600.8036120547946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M71" s="122" t="s">
        <v>4506</v>
      </c>
      <c r="N71" s="96"/>
      <c r="Q71" s="169">
        <v>104578</v>
      </c>
      <c r="R71" s="19" t="s">
        <v>5066</v>
      </c>
      <c r="S71" s="198">
        <f>S70-3</f>
        <v>0</v>
      </c>
      <c r="T71" s="190" t="s">
        <v>5068</v>
      </c>
      <c r="U71" s="214">
        <v>199.8</v>
      </c>
      <c r="V71" s="214">
        <f t="shared" si="17"/>
        <v>202.03776000000002</v>
      </c>
      <c r="W71" s="32">
        <f t="shared" si="18"/>
        <v>206.07851520000003</v>
      </c>
      <c r="X71" s="32">
        <f t="shared" si="19"/>
        <v>210.11927040000003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M72" s="122" t="s">
        <v>4576</v>
      </c>
      <c r="N72" s="96"/>
      <c r="P72" t="s">
        <v>25</v>
      </c>
      <c r="Q72" s="169"/>
      <c r="R72" s="168"/>
      <c r="S72" s="113"/>
      <c r="T72" s="113"/>
      <c r="U72" s="168"/>
      <c r="V72" s="168">
        <f t="shared" si="17"/>
        <v>0</v>
      </c>
      <c r="W72" s="32">
        <f t="shared" si="18"/>
        <v>0</v>
      </c>
      <c r="X72" s="32">
        <f t="shared" si="19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 ht="45">
      <c r="G73" t="s">
        <v>4105</v>
      </c>
      <c r="K73" s="213" t="s">
        <v>4754</v>
      </c>
      <c r="L73" s="22" t="s">
        <v>4730</v>
      </c>
      <c r="M73" s="207" t="s">
        <v>4708</v>
      </c>
      <c r="N73" s="96"/>
      <c r="P73" s="115"/>
      <c r="Q73" s="113">
        <f>SUM(N28:N31)-SUM(Q57:Q72)</f>
        <v>1190563.8000000045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t="s">
        <v>4755</v>
      </c>
      <c r="M74" s="122"/>
      <c r="N74" s="96"/>
      <c r="P74" s="115" t="s">
        <v>25</v>
      </c>
      <c r="R74" s="115"/>
      <c r="S74" s="115"/>
      <c r="T74" s="115" t="s">
        <v>25</v>
      </c>
      <c r="U74" s="115"/>
      <c r="V74" s="115" t="s">
        <v>25</v>
      </c>
      <c r="W74" s="195" t="s">
        <v>25</v>
      </c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4579</v>
      </c>
      <c r="L75" s="96"/>
      <c r="M75" s="122"/>
      <c r="O75" t="s">
        <v>25</v>
      </c>
      <c r="P75" s="115"/>
      <c r="Q75" t="s">
        <v>25</v>
      </c>
      <c r="S75" s="26" t="s">
        <v>25</v>
      </c>
      <c r="T75" t="s">
        <v>25</v>
      </c>
      <c r="U75" s="96" t="s">
        <v>25</v>
      </c>
      <c r="V75" s="115" t="s">
        <v>25</v>
      </c>
      <c r="W75" s="195" t="s">
        <v>25</v>
      </c>
      <c r="X75" s="195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4826</v>
      </c>
      <c r="M76" s="96">
        <f>O50+O21+O31-O56</f>
        <v>3721493</v>
      </c>
      <c r="N76" s="113">
        <f>M76*P50</f>
        <v>752858033.9000001</v>
      </c>
      <c r="P76" s="115"/>
      <c r="Q76" t="s">
        <v>25</v>
      </c>
      <c r="T76" t="s">
        <v>25</v>
      </c>
      <c r="V76" t="s">
        <v>25</v>
      </c>
      <c r="W76" s="195" t="s">
        <v>25</v>
      </c>
      <c r="X76" s="195"/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4827</v>
      </c>
      <c r="M77" t="s">
        <v>4267</v>
      </c>
      <c r="P77" s="115"/>
      <c r="T77" t="s">
        <v>25</v>
      </c>
      <c r="U77" s="96" t="s">
        <v>25</v>
      </c>
      <c r="V77" t="s">
        <v>25</v>
      </c>
      <c r="W77" s="195"/>
      <c r="X77" s="195"/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4828</v>
      </c>
      <c r="M78" t="s">
        <v>4581</v>
      </c>
      <c r="N78" t="s">
        <v>25</v>
      </c>
      <c r="P78" s="115"/>
      <c r="W78" s="195"/>
      <c r="X78" s="195"/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1"/>
        <v>-1755600000</v>
      </c>
      <c r="AN78" s="20"/>
    </row>
    <row r="79" spans="1:40" ht="30">
      <c r="D79" s="1" t="s">
        <v>306</v>
      </c>
      <c r="E79" s="1">
        <v>80000</v>
      </c>
      <c r="G79" s="47">
        <v>0</v>
      </c>
      <c r="H79" s="202" t="s">
        <v>784</v>
      </c>
      <c r="K79" t="s">
        <v>4539</v>
      </c>
      <c r="P79" s="115"/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4585</v>
      </c>
      <c r="M80" t="s">
        <v>949</v>
      </c>
      <c r="N80">
        <v>6.3E-3</v>
      </c>
      <c r="P80" s="115"/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t="s">
        <v>4538</v>
      </c>
      <c r="M81" t="s">
        <v>61</v>
      </c>
      <c r="N81">
        <v>4.8999999999999998E-3</v>
      </c>
      <c r="P81" s="115"/>
      <c r="Q81" s="35">
        <v>184971545</v>
      </c>
      <c r="R81" s="5" t="s">
        <v>4172</v>
      </c>
      <c r="S81" s="5">
        <v>249</v>
      </c>
      <c r="T81" s="5" t="s">
        <v>4346</v>
      </c>
      <c r="U81" s="168">
        <v>192</v>
      </c>
      <c r="V81" s="99">
        <f t="shared" ref="V81:V112" si="22">U81*(1+$N$82+$Q$15*S81/36500)</f>
        <v>230.8250301369863</v>
      </c>
      <c r="W81" s="32">
        <f t="shared" ref="W81:W100" si="23">V81*(1+$W$19/100)</f>
        <v>235.44153073972603</v>
      </c>
      <c r="X81" s="32">
        <f t="shared" ref="X81:X100" si="24">V81*(1+$X$19/100)</f>
        <v>240.05803134246577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s="22" t="s">
        <v>4243</v>
      </c>
      <c r="M82" t="s">
        <v>6</v>
      </c>
      <c r="N82">
        <f>N80+N81</f>
        <v>1.12E-2</v>
      </c>
      <c r="O82" t="s">
        <v>25</v>
      </c>
      <c r="P82" t="s">
        <v>25</v>
      </c>
      <c r="Q82" s="35">
        <v>9560464</v>
      </c>
      <c r="R82" s="5" t="s">
        <v>4299</v>
      </c>
      <c r="S82" s="5">
        <f>S81-31</f>
        <v>218</v>
      </c>
      <c r="T82" s="5" t="s">
        <v>4312</v>
      </c>
      <c r="U82" s="168">
        <v>214.57</v>
      </c>
      <c r="V82" s="99">
        <f t="shared" si="22"/>
        <v>252.85634235616439</v>
      </c>
      <c r="W82" s="32">
        <f t="shared" si="23"/>
        <v>257.91346920328766</v>
      </c>
      <c r="X82" s="32">
        <f t="shared" si="24"/>
        <v>262.97059605041096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t="s">
        <v>4535</v>
      </c>
      <c r="Q83" s="35">
        <v>2000000</v>
      </c>
      <c r="R83" s="5" t="s">
        <v>4342</v>
      </c>
      <c r="S83" s="5">
        <f>S82-11</f>
        <v>207</v>
      </c>
      <c r="T83" s="5" t="s">
        <v>4345</v>
      </c>
      <c r="U83" s="168">
        <v>206.8</v>
      </c>
      <c r="V83" s="99">
        <f t="shared" si="22"/>
        <v>241.95486684931512</v>
      </c>
      <c r="W83" s="32">
        <f t="shared" si="23"/>
        <v>246.79396418630142</v>
      </c>
      <c r="X83" s="32">
        <f t="shared" si="24"/>
        <v>251.63306152328775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1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t="s">
        <v>4296</v>
      </c>
      <c r="Q84" s="35">
        <v>1429825</v>
      </c>
      <c r="R84" s="5" t="s">
        <v>4372</v>
      </c>
      <c r="S84" s="5">
        <f>S83-7</f>
        <v>200</v>
      </c>
      <c r="T84" s="5" t="s">
        <v>4381</v>
      </c>
      <c r="U84" s="168">
        <v>203.9</v>
      </c>
      <c r="V84" s="99">
        <f t="shared" si="22"/>
        <v>237.46696767123291</v>
      </c>
      <c r="W84" s="32">
        <f t="shared" si="23"/>
        <v>242.21630702465757</v>
      </c>
      <c r="X84" s="32">
        <f t="shared" si="24"/>
        <v>246.96564637808223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t="s">
        <v>25</v>
      </c>
      <c r="Q85" s="35">
        <v>1420747</v>
      </c>
      <c r="R85" s="5" t="s">
        <v>4372</v>
      </c>
      <c r="S85" s="5">
        <f>S84</f>
        <v>200</v>
      </c>
      <c r="T85" s="5" t="s">
        <v>4383</v>
      </c>
      <c r="U85" s="168">
        <v>203.1</v>
      </c>
      <c r="V85" s="99">
        <f t="shared" si="22"/>
        <v>236.5352679452055</v>
      </c>
      <c r="W85" s="32">
        <f t="shared" si="23"/>
        <v>241.26597330410962</v>
      </c>
      <c r="X85" s="32">
        <f t="shared" si="24"/>
        <v>245.99667866301374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s="194" t="s">
        <v>4534</v>
      </c>
      <c r="Q86" s="35">
        <v>2010885</v>
      </c>
      <c r="R86" s="5" t="s">
        <v>4392</v>
      </c>
      <c r="S86" s="5">
        <f>S85-3</f>
        <v>197</v>
      </c>
      <c r="T86" s="5" t="s">
        <v>4398</v>
      </c>
      <c r="U86" s="168">
        <v>202.1</v>
      </c>
      <c r="V86" s="99">
        <f t="shared" si="22"/>
        <v>234.90553643835619</v>
      </c>
      <c r="W86" s="32">
        <f t="shared" si="23"/>
        <v>239.60364716712331</v>
      </c>
      <c r="X86" s="32">
        <f t="shared" si="24"/>
        <v>244.30175789589046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  <c r="AS86" s="96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M87" t="s">
        <v>4535</v>
      </c>
      <c r="Q87" s="35">
        <v>1994038</v>
      </c>
      <c r="R87" s="5" t="s">
        <v>4403</v>
      </c>
      <c r="S87" s="5">
        <f>S86-3</f>
        <v>194</v>
      </c>
      <c r="T87" s="5" t="s">
        <v>4419</v>
      </c>
      <c r="U87" s="168">
        <v>5560.3</v>
      </c>
      <c r="V87" s="99">
        <f t="shared" si="22"/>
        <v>6450.0698695890414</v>
      </c>
      <c r="W87" s="32">
        <f t="shared" si="23"/>
        <v>6579.0712669808227</v>
      </c>
      <c r="X87" s="32">
        <f t="shared" si="24"/>
        <v>6708.072664372603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S87" s="96"/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M88" t="s">
        <v>4538</v>
      </c>
      <c r="Q88" s="35">
        <v>444</v>
      </c>
      <c r="R88" s="5" t="s">
        <v>4403</v>
      </c>
      <c r="S88" s="5">
        <f>S87</f>
        <v>194</v>
      </c>
      <c r="T88" s="5" t="s">
        <v>4610</v>
      </c>
      <c r="U88" s="168">
        <v>441.8</v>
      </c>
      <c r="V88" s="99">
        <f t="shared" si="22"/>
        <v>512.49768328767129</v>
      </c>
      <c r="W88" s="32">
        <f t="shared" si="23"/>
        <v>522.74763695342472</v>
      </c>
      <c r="X88" s="32">
        <f t="shared" si="24"/>
        <v>532.99759061917814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M89" t="s">
        <v>4539</v>
      </c>
      <c r="Q89" s="35">
        <v>1971103</v>
      </c>
      <c r="R89" s="5" t="s">
        <v>4414</v>
      </c>
      <c r="S89" s="5">
        <f>S88-1</f>
        <v>193</v>
      </c>
      <c r="T89" s="5" t="s">
        <v>4415</v>
      </c>
      <c r="U89" s="168">
        <v>196.2</v>
      </c>
      <c r="V89" s="99">
        <f t="shared" si="22"/>
        <v>227.44579068493152</v>
      </c>
      <c r="W89" s="32">
        <f t="shared" si="23"/>
        <v>231.99470649863017</v>
      </c>
      <c r="X89" s="32">
        <f t="shared" si="24"/>
        <v>236.54362231232878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4482</v>
      </c>
      <c r="AQ89" t="s">
        <v>25</v>
      </c>
      <c r="AR89" t="s">
        <v>25</v>
      </c>
    </row>
    <row r="90" spans="4:52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Q90" s="35">
        <v>1049856</v>
      </c>
      <c r="R90" s="5" t="s">
        <v>4437</v>
      </c>
      <c r="S90" s="5">
        <f>S89-6</f>
        <v>187</v>
      </c>
      <c r="T90" s="5" t="s">
        <v>4476</v>
      </c>
      <c r="U90" s="168">
        <v>184.5</v>
      </c>
      <c r="V90" s="99">
        <f t="shared" si="22"/>
        <v>213.03330410958907</v>
      </c>
      <c r="W90" s="32">
        <f t="shared" si="23"/>
        <v>217.29397019178086</v>
      </c>
      <c r="X90" s="32">
        <f t="shared" si="24"/>
        <v>221.55463627397265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F91" s="96"/>
      <c r="G91" s="96"/>
      <c r="H91" s="96"/>
      <c r="I91" s="96"/>
      <c r="J91" s="96"/>
      <c r="K91" s="96"/>
      <c r="L91" s="96"/>
      <c r="M91" s="96"/>
      <c r="N91" s="96"/>
      <c r="Q91" s="35">
        <v>1783234</v>
      </c>
      <c r="R91" s="5" t="s">
        <v>4439</v>
      </c>
      <c r="S91" s="5">
        <f>S90-2</f>
        <v>185</v>
      </c>
      <c r="T91" s="5" t="s">
        <v>4440</v>
      </c>
      <c r="U91" s="168">
        <v>177.5</v>
      </c>
      <c r="V91" s="99">
        <f t="shared" si="22"/>
        <v>204.67841095890412</v>
      </c>
      <c r="W91" s="32">
        <f t="shared" si="23"/>
        <v>208.7719791780822</v>
      </c>
      <c r="X91" s="32">
        <f t="shared" si="24"/>
        <v>212.86554739726029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F92" s="96"/>
      <c r="G92" s="96"/>
      <c r="H92" s="96"/>
      <c r="I92" s="96"/>
      <c r="J92" s="96"/>
      <c r="K92" s="96"/>
      <c r="Q92" s="35">
        <v>1662335</v>
      </c>
      <c r="R92" s="5" t="s">
        <v>4443</v>
      </c>
      <c r="S92" s="5">
        <f>S91-5</f>
        <v>180</v>
      </c>
      <c r="T92" s="219" t="s">
        <v>4593</v>
      </c>
      <c r="U92" s="168">
        <v>190.3</v>
      </c>
      <c r="V92" s="99">
        <f t="shared" si="22"/>
        <v>218.70840109589045</v>
      </c>
      <c r="W92" s="32">
        <f t="shared" si="23"/>
        <v>223.08256911780828</v>
      </c>
      <c r="X92" s="32">
        <f t="shared" si="24"/>
        <v>227.45673713972607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/>
      <c r="K93" s="96"/>
      <c r="Q93" s="169">
        <v>499973</v>
      </c>
      <c r="R93" s="168" t="s">
        <v>4583</v>
      </c>
      <c r="S93" s="168">
        <f>S92-37</f>
        <v>143</v>
      </c>
      <c r="T93" s="73" t="s">
        <v>4584</v>
      </c>
      <c r="U93" s="168">
        <v>413</v>
      </c>
      <c r="V93" s="99">
        <f t="shared" si="22"/>
        <v>462.93113424657537</v>
      </c>
      <c r="W93" s="32">
        <f t="shared" si="23"/>
        <v>472.18975693150691</v>
      </c>
      <c r="X93" s="32">
        <f t="shared" si="24"/>
        <v>481.44837961643839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F94" s="96"/>
      <c r="G94" s="96"/>
      <c r="H94" s="96"/>
      <c r="I94" s="96"/>
      <c r="J94" s="96"/>
      <c r="K94" s="96"/>
      <c r="P94" s="115"/>
      <c r="Q94" s="35">
        <v>2272487</v>
      </c>
      <c r="R94" s="5" t="s">
        <v>4603</v>
      </c>
      <c r="S94" s="5">
        <f>S93-5</f>
        <v>138</v>
      </c>
      <c r="T94" s="5" t="s">
        <v>4604</v>
      </c>
      <c r="U94" s="168">
        <v>174.9</v>
      </c>
      <c r="V94" s="99">
        <f t="shared" si="22"/>
        <v>195.37432109589042</v>
      </c>
      <c r="W94" s="32">
        <f t="shared" si="23"/>
        <v>199.28180751780823</v>
      </c>
      <c r="X94" s="32">
        <f t="shared" si="24"/>
        <v>203.18929393972604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F95" s="96"/>
      <c r="G95" s="96"/>
      <c r="H95" s="96"/>
      <c r="I95" s="96"/>
      <c r="J95" s="96"/>
      <c r="K95" s="96"/>
      <c r="P95" s="128"/>
      <c r="Q95" s="35">
        <v>3975257</v>
      </c>
      <c r="R95" s="5" t="s">
        <v>4608</v>
      </c>
      <c r="S95" s="5">
        <f>S94-1</f>
        <v>137</v>
      </c>
      <c r="T95" s="5" t="s">
        <v>4609</v>
      </c>
      <c r="U95" s="168">
        <v>173</v>
      </c>
      <c r="V95" s="99">
        <f t="shared" si="22"/>
        <v>193.11918904109589</v>
      </c>
      <c r="W95" s="32">
        <f t="shared" si="23"/>
        <v>196.98157282191781</v>
      </c>
      <c r="X95" s="32">
        <f t="shared" si="24"/>
        <v>200.84395660273972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5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F96" s="96"/>
      <c r="G96" s="96"/>
      <c r="H96" s="96"/>
      <c r="I96" s="96"/>
      <c r="J96" s="96"/>
      <c r="K96" s="96"/>
      <c r="P96" s="128"/>
      <c r="Q96" s="35">
        <v>1031662</v>
      </c>
      <c r="R96" s="5" t="s">
        <v>4234</v>
      </c>
      <c r="S96" s="5">
        <f>S95-1</f>
        <v>136</v>
      </c>
      <c r="T96" s="5" t="s">
        <v>4612</v>
      </c>
      <c r="U96" s="168">
        <v>171.2</v>
      </c>
      <c r="V96" s="99">
        <f t="shared" si="22"/>
        <v>190.97852493150688</v>
      </c>
      <c r="W96" s="32">
        <f t="shared" si="23"/>
        <v>194.79809543013701</v>
      </c>
      <c r="X96" s="32">
        <f t="shared" si="24"/>
        <v>198.61766592876717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105</v>
      </c>
      <c r="AM96" s="117">
        <f t="shared" si="11"/>
        <v>78750000</v>
      </c>
      <c r="AN96" s="99"/>
      <c r="AQ96" t="s">
        <v>25</v>
      </c>
    </row>
    <row r="97" spans="4:47">
      <c r="D97" s="2" t="s">
        <v>478</v>
      </c>
      <c r="E97" s="3">
        <v>1083333</v>
      </c>
      <c r="K97" s="96"/>
      <c r="L97" s="96"/>
      <c r="M97" s="96"/>
      <c r="N97" s="96"/>
      <c r="P97" s="115"/>
      <c r="Q97" s="35">
        <v>577500</v>
      </c>
      <c r="R97" s="5" t="s">
        <v>4234</v>
      </c>
      <c r="S97" s="5">
        <f>S96</f>
        <v>136</v>
      </c>
      <c r="T97" s="5" t="s">
        <v>4616</v>
      </c>
      <c r="U97" s="168">
        <v>175</v>
      </c>
      <c r="V97" s="99">
        <f t="shared" si="22"/>
        <v>195.21753424657538</v>
      </c>
      <c r="W97" s="32">
        <f t="shared" si="23"/>
        <v>199.12188493150688</v>
      </c>
      <c r="X97" s="32">
        <f t="shared" si="24"/>
        <v>203.02623561643841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5"/>
        <v>101</v>
      </c>
      <c r="AM97" s="117">
        <f t="shared" si="11"/>
        <v>191900000</v>
      </c>
      <c r="AN97" s="99"/>
    </row>
    <row r="98" spans="4:47">
      <c r="D98" s="2"/>
      <c r="E98" s="3"/>
      <c r="K98" s="96"/>
      <c r="L98" s="96"/>
      <c r="M98" s="96"/>
      <c r="N98" s="96"/>
      <c r="Q98" s="35">
        <v>12636487</v>
      </c>
      <c r="R98" s="5" t="s">
        <v>3691</v>
      </c>
      <c r="S98" s="5">
        <f>S97-2</f>
        <v>134</v>
      </c>
      <c r="T98" s="5" t="s">
        <v>4619</v>
      </c>
      <c r="U98" s="168">
        <v>172.1</v>
      </c>
      <c r="V98" s="99">
        <f t="shared" si="22"/>
        <v>191.71845698630139</v>
      </c>
      <c r="W98" s="32">
        <f t="shared" si="23"/>
        <v>195.55282612602741</v>
      </c>
      <c r="X98" s="32">
        <f t="shared" si="24"/>
        <v>199.38719526575346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5"/>
        <v>98</v>
      </c>
      <c r="AM98" s="117">
        <f t="shared" si="11"/>
        <v>627200000</v>
      </c>
      <c r="AN98" s="99"/>
      <c r="AT98" s="96" t="s">
        <v>25</v>
      </c>
    </row>
    <row r="99" spans="4:47">
      <c r="D99" s="2"/>
      <c r="E99" s="3"/>
      <c r="K99" s="96"/>
      <c r="L99" s="96"/>
      <c r="M99" s="96"/>
      <c r="N99" s="96"/>
      <c r="Q99" s="169">
        <v>60508</v>
      </c>
      <c r="R99" s="168" t="s">
        <v>4622</v>
      </c>
      <c r="S99" s="168">
        <f>S98-3</f>
        <v>131</v>
      </c>
      <c r="T99" s="168" t="s">
        <v>4920</v>
      </c>
      <c r="U99" s="168">
        <v>1204.7</v>
      </c>
      <c r="V99" s="99">
        <f t="shared" si="22"/>
        <v>1339.2567386301373</v>
      </c>
      <c r="W99" s="32">
        <f t="shared" si="23"/>
        <v>1366.0418734027401</v>
      </c>
      <c r="X99" s="32">
        <f t="shared" si="24"/>
        <v>1392.8270081753428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5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 t="s">
        <v>25</v>
      </c>
      <c r="K100" t="s">
        <v>25</v>
      </c>
      <c r="L100" s="96"/>
      <c r="M100" s="96"/>
      <c r="N100" s="96"/>
      <c r="Q100" s="39">
        <v>11121445</v>
      </c>
      <c r="R100" s="5" t="s">
        <v>4622</v>
      </c>
      <c r="S100" s="5">
        <f>S99</f>
        <v>131</v>
      </c>
      <c r="T100" s="5" t="s">
        <v>4819</v>
      </c>
      <c r="U100" s="168">
        <v>171.8</v>
      </c>
      <c r="V100" s="99">
        <f t="shared" si="22"/>
        <v>190.98888328767129</v>
      </c>
      <c r="W100" s="32">
        <f t="shared" si="23"/>
        <v>194.80866095342472</v>
      </c>
      <c r="X100" s="32">
        <f t="shared" si="24"/>
        <v>198.62843861917816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5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Q101" s="35">
        <v>12656982</v>
      </c>
      <c r="R101" s="5" t="s">
        <v>4631</v>
      </c>
      <c r="S101" s="5">
        <f>S100-2</f>
        <v>129</v>
      </c>
      <c r="T101" s="5" t="s">
        <v>4632</v>
      </c>
      <c r="U101" s="168">
        <v>5249.9</v>
      </c>
      <c r="V101" s="99">
        <f t="shared" si="22"/>
        <v>5828.2232306849319</v>
      </c>
      <c r="W101" s="32">
        <f t="shared" ref="W101:W132" si="26">V101*(1+$W$19/100)</f>
        <v>5944.7876952986308</v>
      </c>
      <c r="X101" s="32">
        <f t="shared" ref="X101:X132" si="27">V101*(1+$X$19/100)</f>
        <v>6061.3521599123296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5"/>
        <v>91</v>
      </c>
      <c r="AM101" s="117">
        <f t="shared" si="11"/>
        <v>36400000</v>
      </c>
      <c r="AN101" s="99"/>
    </row>
    <row r="102" spans="4:47">
      <c r="Q102" s="169">
        <v>100905</v>
      </c>
      <c r="R102" s="168" t="s">
        <v>4633</v>
      </c>
      <c r="S102" s="168">
        <f>S101-1</f>
        <v>128</v>
      </c>
      <c r="T102" s="168" t="s">
        <v>4639</v>
      </c>
      <c r="U102" s="168">
        <v>372</v>
      </c>
      <c r="V102" s="99">
        <f t="shared" si="22"/>
        <v>412.69374246575342</v>
      </c>
      <c r="W102" s="32">
        <f t="shared" si="26"/>
        <v>420.9476173150685</v>
      </c>
      <c r="X102" s="32">
        <f t="shared" si="27"/>
        <v>429.20149216438358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5"/>
        <v>91</v>
      </c>
      <c r="AM102" s="117">
        <f t="shared" si="11"/>
        <v>-191593311</v>
      </c>
      <c r="AN102" s="99"/>
      <c r="AO102" t="s">
        <v>25</v>
      </c>
    </row>
    <row r="103" spans="4:47">
      <c r="F103" s="214" t="s">
        <v>4702</v>
      </c>
      <c r="G103" s="214" t="s">
        <v>941</v>
      </c>
      <c r="H103" s="214" t="s">
        <v>4689</v>
      </c>
      <c r="I103" s="214" t="s">
        <v>4688</v>
      </c>
      <c r="J103" s="32" t="s">
        <v>4540</v>
      </c>
      <c r="K103" s="214" t="s">
        <v>4680</v>
      </c>
      <c r="L103" s="32" t="s">
        <v>4682</v>
      </c>
      <c r="M103" s="32" t="s">
        <v>4652</v>
      </c>
      <c r="N103" s="214" t="s">
        <v>4653</v>
      </c>
      <c r="Q103" s="35">
        <v>48637534</v>
      </c>
      <c r="R103" s="5" t="s">
        <v>4633</v>
      </c>
      <c r="S103" s="5">
        <f>S102</f>
        <v>128</v>
      </c>
      <c r="T103" s="5" t="s">
        <v>4637</v>
      </c>
      <c r="U103" s="168">
        <v>5330</v>
      </c>
      <c r="V103" s="99">
        <f t="shared" si="22"/>
        <v>5913.0581917808222</v>
      </c>
      <c r="W103" s="32">
        <f t="shared" si="26"/>
        <v>6031.3193556164388</v>
      </c>
      <c r="X103" s="32">
        <f t="shared" si="27"/>
        <v>6149.5805194520553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5"/>
        <v>90</v>
      </c>
      <c r="AM103" s="117">
        <f t="shared" si="11"/>
        <v>-497485620</v>
      </c>
      <c r="AN103" s="99"/>
    </row>
    <row r="104" spans="4:47">
      <c r="F104" s="200">
        <f>$L$111/G104</f>
        <v>23133.959466139397</v>
      </c>
      <c r="G104" s="200">
        <f>P50</f>
        <v>202.3</v>
      </c>
      <c r="H104" s="200" t="s">
        <v>4807</v>
      </c>
      <c r="I104" s="200" t="s">
        <v>4806</v>
      </c>
      <c r="J104" s="215" t="s">
        <v>4243</v>
      </c>
      <c r="K104" s="200">
        <v>70</v>
      </c>
      <c r="L104" s="216">
        <f>K104*$L$111</f>
        <v>327600000</v>
      </c>
      <c r="M104" s="216">
        <f>N21+N31+N50</f>
        <v>761685799</v>
      </c>
      <c r="N104" s="184">
        <f t="shared" ref="N104:N108" si="28">L104-M104</f>
        <v>-434085799</v>
      </c>
      <c r="Q104" s="35">
        <v>40048573</v>
      </c>
      <c r="R104" s="5" t="s">
        <v>4633</v>
      </c>
      <c r="S104" s="5">
        <f>S103</f>
        <v>128</v>
      </c>
      <c r="T104" s="5" t="s">
        <v>4638</v>
      </c>
      <c r="U104" s="168">
        <v>498.9</v>
      </c>
      <c r="V104" s="99">
        <f t="shared" si="22"/>
        <v>553.47555945205477</v>
      </c>
      <c r="W104" s="32">
        <f t="shared" si="26"/>
        <v>564.54507064109589</v>
      </c>
      <c r="X104" s="32">
        <f t="shared" si="27"/>
        <v>575.61458183013701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5"/>
        <v>90</v>
      </c>
      <c r="AM104" s="117">
        <f t="shared" si="11"/>
        <v>351000000</v>
      </c>
      <c r="AN104" s="99"/>
    </row>
    <row r="105" spans="4:47">
      <c r="F105" s="214">
        <f>$L$111/G105</f>
        <v>958.72170439414117</v>
      </c>
      <c r="G105" s="214">
        <f>P47</f>
        <v>4881.5</v>
      </c>
      <c r="H105" s="214" t="s">
        <v>4999</v>
      </c>
      <c r="I105" s="214" t="s">
        <v>5000</v>
      </c>
      <c r="J105" s="32" t="s">
        <v>4394</v>
      </c>
      <c r="K105" s="214">
        <v>44</v>
      </c>
      <c r="L105" s="1">
        <f>K105*$L$111</f>
        <v>205920000</v>
      </c>
      <c r="M105" s="1">
        <f>N25+N47+N28</f>
        <v>212887096.5</v>
      </c>
      <c r="N105" s="113">
        <f t="shared" si="28"/>
        <v>-6967096.5</v>
      </c>
      <c r="Q105" s="35">
        <v>37856769</v>
      </c>
      <c r="R105" s="5" t="s">
        <v>4649</v>
      </c>
      <c r="S105" s="5">
        <f>S104-1</f>
        <v>127</v>
      </c>
      <c r="T105" s="5" t="s">
        <v>4651</v>
      </c>
      <c r="U105" s="168">
        <v>5393.6</v>
      </c>
      <c r="V105" s="99">
        <f t="shared" si="22"/>
        <v>5979.4779528767131</v>
      </c>
      <c r="W105" s="32">
        <f t="shared" si="26"/>
        <v>6099.0675119342477</v>
      </c>
      <c r="X105" s="32">
        <f t="shared" si="27"/>
        <v>6218.6570709917814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5"/>
        <v>87</v>
      </c>
      <c r="AM105" s="117">
        <f t="shared" si="11"/>
        <v>-345368598</v>
      </c>
      <c r="AN105" s="99"/>
    </row>
    <row r="106" spans="4:47">
      <c r="F106" s="200">
        <v>0</v>
      </c>
      <c r="G106" s="200">
        <v>0</v>
      </c>
      <c r="H106" s="200" t="s">
        <v>3881</v>
      </c>
      <c r="I106" s="200" t="s">
        <v>4692</v>
      </c>
      <c r="J106" s="215" t="s">
        <v>4390</v>
      </c>
      <c r="K106" s="200">
        <v>56</v>
      </c>
      <c r="L106" s="216">
        <f>K106*$L$111</f>
        <v>262080000</v>
      </c>
      <c r="M106" s="216">
        <f>0</f>
        <v>0</v>
      </c>
      <c r="N106" s="184">
        <f t="shared" si="28"/>
        <v>262080000</v>
      </c>
      <c r="Q106" s="35">
        <v>155151</v>
      </c>
      <c r="R106" s="5" t="s">
        <v>4660</v>
      </c>
      <c r="S106" s="5">
        <f>S105-3</f>
        <v>124</v>
      </c>
      <c r="T106" s="5" t="s">
        <v>4662</v>
      </c>
      <c r="U106" s="168">
        <v>5325.9</v>
      </c>
      <c r="V106" s="99">
        <f t="shared" si="22"/>
        <v>5892.1671978082195</v>
      </c>
      <c r="W106" s="32">
        <f t="shared" si="26"/>
        <v>6010.0105417643836</v>
      </c>
      <c r="X106" s="32">
        <f t="shared" si="27"/>
        <v>6127.8538857205485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5"/>
        <v>86</v>
      </c>
      <c r="AM106" s="117">
        <f t="shared" si="11"/>
        <v>-2199403130</v>
      </c>
      <c r="AN106" s="99"/>
      <c r="AP106" t="s">
        <v>25</v>
      </c>
    </row>
    <row r="107" spans="4:47">
      <c r="F107" s="214">
        <f>$L$111/G107</f>
        <v>6130.4689546764475</v>
      </c>
      <c r="G107" s="214">
        <f>P49</f>
        <v>763.4</v>
      </c>
      <c r="H107" s="214" t="s">
        <v>4691</v>
      </c>
      <c r="I107" s="214" t="s">
        <v>4690</v>
      </c>
      <c r="J107" s="32" t="s">
        <v>4409</v>
      </c>
      <c r="K107" s="214">
        <v>40</v>
      </c>
      <c r="L107" s="1">
        <f>K107*$L$111</f>
        <v>187200000</v>
      </c>
      <c r="M107" s="1">
        <f>N49+N22</f>
        <v>203165168.80000001</v>
      </c>
      <c r="N107" s="113">
        <f t="shared" si="28"/>
        <v>-15965168.800000012</v>
      </c>
      <c r="Q107" s="35">
        <v>8938737</v>
      </c>
      <c r="R107" s="5" t="s">
        <v>4665</v>
      </c>
      <c r="S107" s="5">
        <f>S106-1</f>
        <v>123</v>
      </c>
      <c r="T107" s="5" t="s">
        <v>4667</v>
      </c>
      <c r="U107" s="168">
        <v>5179.5</v>
      </c>
      <c r="V107" s="99">
        <f t="shared" si="22"/>
        <v>5726.2281534246586</v>
      </c>
      <c r="W107" s="32">
        <f t="shared" si="26"/>
        <v>5840.7527164931516</v>
      </c>
      <c r="X107" s="32">
        <f t="shared" si="27"/>
        <v>5955.2772795616447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5"/>
        <v>86</v>
      </c>
      <c r="AM107" s="117">
        <f t="shared" si="11"/>
        <v>344000000</v>
      </c>
      <c r="AN107" s="99"/>
    </row>
    <row r="108" spans="4:47">
      <c r="F108" s="200"/>
      <c r="G108" s="200"/>
      <c r="H108" s="200"/>
      <c r="I108" s="200"/>
      <c r="J108" s="215" t="s">
        <v>4664</v>
      </c>
      <c r="K108" s="200">
        <v>1</v>
      </c>
      <c r="L108" s="216">
        <f>K108*$L$111</f>
        <v>4680000</v>
      </c>
      <c r="M108" s="216">
        <f>N44+N46</f>
        <v>975510</v>
      </c>
      <c r="N108" s="184">
        <f t="shared" si="28"/>
        <v>3704490</v>
      </c>
      <c r="Q108" s="35">
        <v>2595417</v>
      </c>
      <c r="R108" s="5" t="s">
        <v>4675</v>
      </c>
      <c r="S108" s="5">
        <f>S107-1</f>
        <v>122</v>
      </c>
      <c r="T108" s="5" t="s">
        <v>4676</v>
      </c>
      <c r="U108" s="168">
        <v>4803</v>
      </c>
      <c r="V108" s="99">
        <f t="shared" si="22"/>
        <v>5306.3017643835619</v>
      </c>
      <c r="W108" s="32">
        <f t="shared" si="26"/>
        <v>5412.4277996712335</v>
      </c>
      <c r="X108" s="32">
        <f t="shared" si="27"/>
        <v>5518.5538349589042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85</v>
      </c>
      <c r="AM108" s="117">
        <f t="shared" si="11"/>
        <v>-425000000</v>
      </c>
      <c r="AN108" s="99"/>
    </row>
    <row r="109" spans="4:47">
      <c r="F109" s="214"/>
      <c r="G109" s="214"/>
      <c r="H109" s="214"/>
      <c r="I109" s="214"/>
      <c r="J109" s="32" t="s">
        <v>4778</v>
      </c>
      <c r="K109" s="214"/>
      <c r="L109" s="1"/>
      <c r="M109" s="1"/>
      <c r="N109" s="113">
        <v>50000000</v>
      </c>
      <c r="Q109" s="169">
        <v>183283</v>
      </c>
      <c r="R109" s="211" t="s">
        <v>4678</v>
      </c>
      <c r="S109" s="211">
        <f>S108-1</f>
        <v>121</v>
      </c>
      <c r="T109" s="211" t="s">
        <v>4686</v>
      </c>
      <c r="U109" s="211">
        <v>347.5</v>
      </c>
      <c r="V109" s="99">
        <f t="shared" si="22"/>
        <v>383.64761643835624</v>
      </c>
      <c r="W109" s="32">
        <f t="shared" si="26"/>
        <v>391.32056876712335</v>
      </c>
      <c r="X109" s="32">
        <f t="shared" si="27"/>
        <v>398.99352109589051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5"/>
        <v>83</v>
      </c>
      <c r="AM109" s="117">
        <f t="shared" si="11"/>
        <v>830000000</v>
      </c>
      <c r="AN109" s="99"/>
    </row>
    <row r="110" spans="4:47">
      <c r="F110" s="200"/>
      <c r="G110" s="200"/>
      <c r="H110" s="200"/>
      <c r="I110" s="200"/>
      <c r="J110" s="215" t="s">
        <v>4897</v>
      </c>
      <c r="K110" s="200">
        <f>SUM(K104:K108)</f>
        <v>211</v>
      </c>
      <c r="L110" s="216"/>
      <c r="M110" s="216"/>
      <c r="N110" s="184"/>
      <c r="Q110" s="35">
        <v>559461</v>
      </c>
      <c r="R110" s="5" t="s">
        <v>4678</v>
      </c>
      <c r="S110" s="5">
        <f>S109</f>
        <v>121</v>
      </c>
      <c r="T110" s="5" t="s">
        <v>4685</v>
      </c>
      <c r="U110" s="211">
        <v>508.1</v>
      </c>
      <c r="V110" s="99">
        <f t="shared" si="22"/>
        <v>560.95353643835631</v>
      </c>
      <c r="W110" s="32">
        <f t="shared" si="26"/>
        <v>572.17260716712349</v>
      </c>
      <c r="X110" s="32">
        <f t="shared" si="27"/>
        <v>583.39167789589055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5"/>
        <v>79</v>
      </c>
      <c r="AM110" s="117">
        <f t="shared" si="11"/>
        <v>-414113023</v>
      </c>
      <c r="AN110" s="99"/>
    </row>
    <row r="111" spans="4:47">
      <c r="F111" s="214"/>
      <c r="G111" s="214"/>
      <c r="H111" s="214" t="s">
        <v>25</v>
      </c>
      <c r="I111" s="214"/>
      <c r="J111" s="32"/>
      <c r="K111" s="214">
        <v>8</v>
      </c>
      <c r="L111" s="39">
        <f>10*P51</f>
        <v>4680000</v>
      </c>
      <c r="M111" s="1">
        <f>K111*L111</f>
        <v>37440000</v>
      </c>
      <c r="N111" s="113">
        <f>SUM(N104:N109)-M111</f>
        <v>-178673574.30000001</v>
      </c>
      <c r="Q111" s="35">
        <v>622942</v>
      </c>
      <c r="R111" s="5" t="s">
        <v>4693</v>
      </c>
      <c r="S111" s="5">
        <f>S110-1</f>
        <v>120</v>
      </c>
      <c r="T111" s="5" t="s">
        <v>4694</v>
      </c>
      <c r="U111" s="211">
        <v>503.3</v>
      </c>
      <c r="V111" s="99">
        <f t="shared" si="22"/>
        <v>555.26813808219185</v>
      </c>
      <c r="W111" s="32">
        <f t="shared" si="26"/>
        <v>566.3735008438357</v>
      </c>
      <c r="X111" s="32">
        <f t="shared" si="27"/>
        <v>577.47886360547955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5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00"/>
      <c r="G112" s="200"/>
      <c r="H112" s="200"/>
      <c r="I112" s="200"/>
      <c r="J112" s="215"/>
      <c r="K112" s="246" t="s">
        <v>4917</v>
      </c>
      <c r="L112" s="216" t="s">
        <v>4253</v>
      </c>
      <c r="M112" s="216" t="s">
        <v>4673</v>
      </c>
      <c r="N112" s="184" t="s">
        <v>4674</v>
      </c>
      <c r="P112" s="114"/>
      <c r="Q112" s="35">
        <v>1472140</v>
      </c>
      <c r="R112" s="5" t="s">
        <v>4699</v>
      </c>
      <c r="S112" s="5">
        <f>S111-3</f>
        <v>117</v>
      </c>
      <c r="T112" s="5" t="s">
        <v>4701</v>
      </c>
      <c r="U112" s="168">
        <v>502</v>
      </c>
      <c r="V112" s="99">
        <f t="shared" si="22"/>
        <v>552.67861917808227</v>
      </c>
      <c r="W112" s="32">
        <f t="shared" si="26"/>
        <v>563.73219156164396</v>
      </c>
      <c r="X112" s="32">
        <f t="shared" si="27"/>
        <v>574.78576394520553</v>
      </c>
      <c r="Y112">
        <v>13000</v>
      </c>
      <c r="AH112" s="99">
        <v>92</v>
      </c>
      <c r="AI112" s="113" t="s">
        <v>4590</v>
      </c>
      <c r="AJ112" s="113">
        <v>-15000000</v>
      </c>
      <c r="AK112" s="99">
        <v>0</v>
      </c>
      <c r="AL112" s="99">
        <f t="shared" si="25"/>
        <v>77</v>
      </c>
      <c r="AM112" s="117">
        <f t="shared" si="11"/>
        <v>-1155000000</v>
      </c>
      <c r="AN112" s="99"/>
      <c r="AO112" t="s">
        <v>25</v>
      </c>
    </row>
    <row r="113" spans="6:46">
      <c r="F113" s="214"/>
      <c r="G113" s="214"/>
      <c r="H113" s="214"/>
      <c r="I113" s="214"/>
      <c r="J113" s="32" t="s">
        <v>4681</v>
      </c>
      <c r="K113" s="214"/>
      <c r="L113" s="1"/>
      <c r="M113" s="1"/>
      <c r="N113" s="113"/>
      <c r="Q113" s="35">
        <v>4394591</v>
      </c>
      <c r="R113" s="5" t="s">
        <v>4703</v>
      </c>
      <c r="S113" s="5">
        <f>S112-1</f>
        <v>116</v>
      </c>
      <c r="T113" s="5" t="s">
        <v>4704</v>
      </c>
      <c r="U113" s="168">
        <v>481.7</v>
      </c>
      <c r="V113" s="99">
        <f t="shared" ref="V113:V132" si="29">U113*(1+$N$82+$Q$15*S113/36500)</f>
        <v>529.95974136986308</v>
      </c>
      <c r="W113" s="32">
        <f t="shared" si="26"/>
        <v>540.55893619726032</v>
      </c>
      <c r="X113" s="32">
        <f t="shared" si="27"/>
        <v>551.15813102465768</v>
      </c>
      <c r="Y113" t="s">
        <v>25</v>
      </c>
      <c r="AH113" s="99">
        <v>93</v>
      </c>
      <c r="AI113" s="113" t="s">
        <v>4590</v>
      </c>
      <c r="AJ113" s="113">
        <v>3000000</v>
      </c>
      <c r="AK113" s="99">
        <v>1</v>
      </c>
      <c r="AL113" s="99">
        <f t="shared" si="25"/>
        <v>77</v>
      </c>
      <c r="AM113" s="117">
        <f t="shared" si="11"/>
        <v>231000000</v>
      </c>
      <c r="AN113" s="99"/>
    </row>
    <row r="114" spans="6:46">
      <c r="M114" t="s">
        <v>25</v>
      </c>
      <c r="Q114" s="117">
        <v>5924703</v>
      </c>
      <c r="R114" s="19" t="s">
        <v>4727</v>
      </c>
      <c r="S114" s="19">
        <f>S113-13</f>
        <v>103</v>
      </c>
      <c r="T114" s="19" t="s">
        <v>4808</v>
      </c>
      <c r="U114" s="214">
        <v>489</v>
      </c>
      <c r="V114" s="99">
        <f t="shared" si="29"/>
        <v>533.11449863013706</v>
      </c>
      <c r="W114" s="32">
        <f t="shared" si="26"/>
        <v>543.77678860273977</v>
      </c>
      <c r="X114" s="32">
        <f t="shared" si="27"/>
        <v>554.43907857534259</v>
      </c>
      <c r="Y114" t="s">
        <v>25</v>
      </c>
      <c r="AH114" s="99">
        <v>94</v>
      </c>
      <c r="AI114" s="113" t="s">
        <v>4594</v>
      </c>
      <c r="AJ114" s="113">
        <v>-2103736</v>
      </c>
      <c r="AK114" s="99">
        <v>0</v>
      </c>
      <c r="AL114" s="99">
        <f t="shared" si="25"/>
        <v>76</v>
      </c>
      <c r="AM114" s="117">
        <f t="shared" si="11"/>
        <v>-159883936</v>
      </c>
      <c r="AN114" s="99"/>
    </row>
    <row r="115" spans="6:46">
      <c r="Q115" s="117">
        <v>24695044</v>
      </c>
      <c r="R115" s="19" t="s">
        <v>4774</v>
      </c>
      <c r="S115" s="19">
        <f>S114-10</f>
        <v>93</v>
      </c>
      <c r="T115" s="19" t="s">
        <v>4777</v>
      </c>
      <c r="U115" s="214">
        <v>5249.5</v>
      </c>
      <c r="V115" s="99">
        <f t="shared" si="29"/>
        <v>5682.8066739726037</v>
      </c>
      <c r="W115" s="32">
        <f t="shared" si="26"/>
        <v>5796.462807452056</v>
      </c>
      <c r="X115" s="32">
        <f t="shared" si="27"/>
        <v>5910.1189409315084</v>
      </c>
      <c r="AH115" s="99">
        <v>95</v>
      </c>
      <c r="AI115" s="113" t="s">
        <v>4594</v>
      </c>
      <c r="AJ115" s="113">
        <v>220000</v>
      </c>
      <c r="AK115" s="99">
        <v>3</v>
      </c>
      <c r="AL115" s="99">
        <f t="shared" si="25"/>
        <v>76</v>
      </c>
      <c r="AM115" s="117">
        <f t="shared" si="11"/>
        <v>16720000</v>
      </c>
      <c r="AN115" s="99"/>
      <c r="AR115" s="96"/>
      <c r="AS115" s="96"/>
      <c r="AT115"/>
    </row>
    <row r="116" spans="6:46">
      <c r="K116" s="168" t="s">
        <v>4540</v>
      </c>
      <c r="L116" s="168" t="s">
        <v>4541</v>
      </c>
      <c r="M116" s="168" t="s">
        <v>4435</v>
      </c>
      <c r="N116" s="56" t="s">
        <v>190</v>
      </c>
      <c r="P116" s="114"/>
      <c r="Q116" s="117">
        <v>5416530</v>
      </c>
      <c r="R116" s="19" t="s">
        <v>4783</v>
      </c>
      <c r="S116" s="19">
        <f>S115-1</f>
        <v>92</v>
      </c>
      <c r="T116" s="19" t="s">
        <v>4841</v>
      </c>
      <c r="U116" s="214">
        <v>5235</v>
      </c>
      <c r="V116" s="99">
        <f t="shared" si="29"/>
        <v>5663.093917808219</v>
      </c>
      <c r="W116" s="32">
        <f t="shared" si="26"/>
        <v>5776.3557961643837</v>
      </c>
      <c r="X116" s="32">
        <f t="shared" si="27"/>
        <v>5889.6176745205476</v>
      </c>
      <c r="Y116">
        <v>23000</v>
      </c>
      <c r="AH116" s="99">
        <v>96</v>
      </c>
      <c r="AI116" s="113" t="s">
        <v>4603</v>
      </c>
      <c r="AJ116" s="113">
        <v>4000000</v>
      </c>
      <c r="AK116" s="99">
        <v>1</v>
      </c>
      <c r="AL116" s="99">
        <f t="shared" si="25"/>
        <v>73</v>
      </c>
      <c r="AM116" s="117">
        <f t="shared" si="11"/>
        <v>292000000</v>
      </c>
      <c r="AN116" s="99"/>
    </row>
    <row r="117" spans="6:46">
      <c r="K117" s="168" t="s">
        <v>4243</v>
      </c>
      <c r="L117" s="169">
        <v>1100000</v>
      </c>
      <c r="M117" s="169">
        <v>1637000</v>
      </c>
      <c r="N117" s="168">
        <f t="shared" ref="N117:N125" si="30">(M117-L117)*100/L117</f>
        <v>48.81818181818182</v>
      </c>
      <c r="Q117" s="117">
        <v>153812</v>
      </c>
      <c r="R117" s="19" t="s">
        <v>4814</v>
      </c>
      <c r="S117" s="19">
        <f>S116-6</f>
        <v>86</v>
      </c>
      <c r="T117" s="19" t="s">
        <v>4815</v>
      </c>
      <c r="U117" s="214">
        <v>537.20000000000005</v>
      </c>
      <c r="V117" s="99">
        <f t="shared" si="29"/>
        <v>578.6571221917809</v>
      </c>
      <c r="W117" s="32">
        <f t="shared" si="26"/>
        <v>590.23026463561655</v>
      </c>
      <c r="X117" s="32">
        <f t="shared" si="27"/>
        <v>601.8034070794522</v>
      </c>
      <c r="Y117">
        <v>6000</v>
      </c>
      <c r="AH117" s="99">
        <v>97</v>
      </c>
      <c r="AI117" s="113" t="s">
        <v>4608</v>
      </c>
      <c r="AJ117" s="113">
        <v>-9000000</v>
      </c>
      <c r="AK117" s="99">
        <v>0</v>
      </c>
      <c r="AL117" s="99">
        <f t="shared" si="25"/>
        <v>72</v>
      </c>
      <c r="AM117" s="117">
        <f t="shared" si="11"/>
        <v>-648000000</v>
      </c>
      <c r="AN117" s="99"/>
      <c r="AP117" t="s">
        <v>25</v>
      </c>
    </row>
    <row r="118" spans="6:46">
      <c r="F118" s="214"/>
      <c r="G118" s="214"/>
      <c r="H118" s="214"/>
      <c r="I118" s="214"/>
      <c r="J118" s="214" t="s">
        <v>4905</v>
      </c>
      <c r="K118" s="5" t="s">
        <v>4535</v>
      </c>
      <c r="L118" s="169">
        <v>1100000</v>
      </c>
      <c r="M118" s="169">
        <v>4748000</v>
      </c>
      <c r="N118" s="168">
        <f t="shared" si="30"/>
        <v>331.63636363636363</v>
      </c>
      <c r="Q118" s="117">
        <v>10926171</v>
      </c>
      <c r="R118" s="19" t="s">
        <v>4843</v>
      </c>
      <c r="S118" s="19">
        <f>S117-6</f>
        <v>80</v>
      </c>
      <c r="T118" s="19" t="s">
        <v>4845</v>
      </c>
      <c r="U118" s="214">
        <v>5355.4</v>
      </c>
      <c r="V118" s="99">
        <f t="shared" si="29"/>
        <v>5744.0406443835627</v>
      </c>
      <c r="W118" s="32">
        <f t="shared" si="26"/>
        <v>5858.9214572712344</v>
      </c>
      <c r="X118" s="32">
        <f t="shared" si="27"/>
        <v>5973.8022701589052</v>
      </c>
      <c r="AH118" s="99">
        <v>98</v>
      </c>
      <c r="AI118" s="113" t="s">
        <v>4608</v>
      </c>
      <c r="AJ118" s="113">
        <v>13900000</v>
      </c>
      <c r="AK118" s="99">
        <v>2</v>
      </c>
      <c r="AL118" s="99">
        <f t="shared" si="25"/>
        <v>72</v>
      </c>
      <c r="AM118" s="117">
        <f t="shared" si="11"/>
        <v>1000800000</v>
      </c>
      <c r="AN118" s="99"/>
    </row>
    <row r="119" spans="6:46">
      <c r="F119" s="214" t="s">
        <v>4363</v>
      </c>
      <c r="G119" s="214" t="s">
        <v>941</v>
      </c>
      <c r="H119" s="214" t="s">
        <v>4540</v>
      </c>
      <c r="I119" s="214" t="s">
        <v>937</v>
      </c>
      <c r="J119" s="214" t="s">
        <v>4775</v>
      </c>
      <c r="K119" s="5" t="s">
        <v>4536</v>
      </c>
      <c r="L119" s="169">
        <v>1100000</v>
      </c>
      <c r="M119" s="169">
        <v>5137000</v>
      </c>
      <c r="N119" s="168">
        <f t="shared" si="30"/>
        <v>367</v>
      </c>
      <c r="Q119" s="169">
        <v>26970108</v>
      </c>
      <c r="R119" s="214" t="s">
        <v>4908</v>
      </c>
      <c r="S119" s="214">
        <f>S118-28</f>
        <v>52</v>
      </c>
      <c r="T119" s="214" t="s">
        <v>4915</v>
      </c>
      <c r="U119" s="214">
        <v>6110.2</v>
      </c>
      <c r="V119" s="99">
        <f t="shared" si="29"/>
        <v>6422.3726290410959</v>
      </c>
      <c r="W119" s="32">
        <f t="shared" si="26"/>
        <v>6550.8200816219178</v>
      </c>
      <c r="X119" s="32">
        <f t="shared" si="27"/>
        <v>6679.2675342027396</v>
      </c>
      <c r="Y119">
        <v>3300</v>
      </c>
      <c r="AH119" s="99">
        <v>99</v>
      </c>
      <c r="AI119" s="113" t="s">
        <v>4617</v>
      </c>
      <c r="AJ119" s="113">
        <v>-8127577</v>
      </c>
      <c r="AK119" s="99">
        <v>1</v>
      </c>
      <c r="AL119" s="99">
        <f t="shared" si="25"/>
        <v>70</v>
      </c>
      <c r="AM119" s="117">
        <f t="shared" si="11"/>
        <v>-568930390</v>
      </c>
      <c r="AN119" s="99"/>
      <c r="AO119" t="s">
        <v>25</v>
      </c>
      <c r="AQ119" t="s">
        <v>25</v>
      </c>
    </row>
    <row r="120" spans="6:46">
      <c r="F120" s="1">
        <v>3775.1</v>
      </c>
      <c r="G120" s="1">
        <v>4220</v>
      </c>
      <c r="H120" s="214" t="s">
        <v>4390</v>
      </c>
      <c r="I120" s="214">
        <v>1000</v>
      </c>
      <c r="J120" s="1">
        <f>I120*G120</f>
        <v>4220000</v>
      </c>
      <c r="K120" s="19" t="s">
        <v>4390</v>
      </c>
      <c r="L120" s="169">
        <v>1100000</v>
      </c>
      <c r="M120" s="169">
        <v>4300000</v>
      </c>
      <c r="N120" s="168">
        <f t="shared" si="30"/>
        <v>290.90909090909093</v>
      </c>
      <c r="Q120" s="169">
        <v>6150141</v>
      </c>
      <c r="R120" s="214" t="s">
        <v>4908</v>
      </c>
      <c r="S120" s="214">
        <f>S119</f>
        <v>52</v>
      </c>
      <c r="T120" s="214" t="s">
        <v>4916</v>
      </c>
      <c r="U120" s="214">
        <v>180.6</v>
      </c>
      <c r="V120" s="99">
        <f t="shared" si="29"/>
        <v>189.82692821917809</v>
      </c>
      <c r="W120" s="32">
        <f t="shared" si="26"/>
        <v>193.62346678356164</v>
      </c>
      <c r="X120" s="32">
        <f t="shared" si="27"/>
        <v>197.42000534794522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1">
        <v>6250.1</v>
      </c>
      <c r="G121" s="1">
        <f>P47</f>
        <v>4881.5</v>
      </c>
      <c r="H121" s="214" t="s">
        <v>4906</v>
      </c>
      <c r="I121" s="214">
        <v>1000</v>
      </c>
      <c r="J121" s="1">
        <f>I121*G121+1460000</f>
        <v>6341500</v>
      </c>
      <c r="K121" s="5" t="s">
        <v>4409</v>
      </c>
      <c r="L121" s="169">
        <v>1100000</v>
      </c>
      <c r="M121" s="169">
        <v>3191000</v>
      </c>
      <c r="N121" s="168">
        <f t="shared" si="30"/>
        <v>190.09090909090909</v>
      </c>
      <c r="P121" s="114"/>
      <c r="Q121" s="169">
        <v>162112</v>
      </c>
      <c r="R121" s="214" t="s">
        <v>4930</v>
      </c>
      <c r="S121" s="214">
        <f>S120-7</f>
        <v>45</v>
      </c>
      <c r="T121" s="214" t="s">
        <v>4932</v>
      </c>
      <c r="U121" s="214">
        <v>632.79999999999995</v>
      </c>
      <c r="V121" s="99">
        <f t="shared" si="29"/>
        <v>661.7319627397261</v>
      </c>
      <c r="W121" s="32">
        <f t="shared" si="26"/>
        <v>674.9666019945206</v>
      </c>
      <c r="X121" s="32">
        <f t="shared" si="27"/>
        <v>688.20124124931522</v>
      </c>
      <c r="AH121" s="99">
        <v>101</v>
      </c>
      <c r="AI121" s="113" t="s">
        <v>4622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64" si="32">AJ121*AL121</f>
        <v>580800000</v>
      </c>
      <c r="AN121" s="99"/>
      <c r="AP121" t="s">
        <v>25</v>
      </c>
    </row>
    <row r="122" spans="6:46" ht="45">
      <c r="F122" s="1">
        <v>183</v>
      </c>
      <c r="G122" s="1">
        <f>P50</f>
        <v>202.3</v>
      </c>
      <c r="H122" s="214" t="s">
        <v>4243</v>
      </c>
      <c r="I122" s="214">
        <v>108344</v>
      </c>
      <c r="J122" s="1">
        <f t="shared" ref="J122:J123" si="33">I122*G122</f>
        <v>21917991.200000003</v>
      </c>
      <c r="K122" s="5" t="s">
        <v>4537</v>
      </c>
      <c r="L122" s="169">
        <v>1100000</v>
      </c>
      <c r="M122" s="169">
        <v>5623000</v>
      </c>
      <c r="N122" s="168">
        <f t="shared" si="30"/>
        <v>411.18181818181819</v>
      </c>
      <c r="Q122" s="169">
        <v>1399908</v>
      </c>
      <c r="R122" s="214" t="s">
        <v>4985</v>
      </c>
      <c r="S122" s="214">
        <f>S121-13</f>
        <v>32</v>
      </c>
      <c r="T122" s="214" t="s">
        <v>4986</v>
      </c>
      <c r="U122" s="214">
        <v>194</v>
      </c>
      <c r="V122" s="99">
        <f t="shared" si="29"/>
        <v>200.93510136986305</v>
      </c>
      <c r="W122" s="32">
        <f t="shared" si="26"/>
        <v>204.95380339726032</v>
      </c>
      <c r="X122" s="32">
        <f t="shared" si="27"/>
        <v>208.97250542465758</v>
      </c>
      <c r="Y122" t="s">
        <v>25</v>
      </c>
      <c r="AH122" s="121">
        <v>102</v>
      </c>
      <c r="AI122" s="79" t="s">
        <v>4622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6" t="s">
        <v>4623</v>
      </c>
    </row>
    <row r="123" spans="6:46">
      <c r="F123" s="1">
        <v>4485.1000000000004</v>
      </c>
      <c r="G123" s="1">
        <v>5250</v>
      </c>
      <c r="H123" s="214" t="s">
        <v>4537</v>
      </c>
      <c r="I123" s="214">
        <v>3</v>
      </c>
      <c r="J123" s="1">
        <f t="shared" si="33"/>
        <v>15750</v>
      </c>
      <c r="K123" s="19" t="s">
        <v>4394</v>
      </c>
      <c r="L123" s="169">
        <v>1100000</v>
      </c>
      <c r="M123" s="169">
        <v>7728000</v>
      </c>
      <c r="N123" s="168">
        <f t="shared" si="30"/>
        <v>602.5454545454545</v>
      </c>
      <c r="Q123" s="169">
        <v>1204033</v>
      </c>
      <c r="R123" s="214" t="s">
        <v>4995</v>
      </c>
      <c r="S123" s="214">
        <f>S122-7</f>
        <v>25</v>
      </c>
      <c r="T123" s="214" t="s">
        <v>4998</v>
      </c>
      <c r="U123" s="214">
        <v>218.5</v>
      </c>
      <c r="V123" s="99">
        <f t="shared" si="29"/>
        <v>225.13761095890413</v>
      </c>
      <c r="W123" s="32">
        <f t="shared" si="26"/>
        <v>229.64036317808223</v>
      </c>
      <c r="X123" s="32">
        <f t="shared" si="27"/>
        <v>234.14311539726032</v>
      </c>
      <c r="Y123" t="s">
        <v>25</v>
      </c>
      <c r="AH123" s="89">
        <v>103</v>
      </c>
      <c r="AI123" s="90" t="s">
        <v>4626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4634</v>
      </c>
    </row>
    <row r="124" spans="6:46">
      <c r="F124" s="214"/>
      <c r="G124" s="214"/>
      <c r="H124" s="214"/>
      <c r="I124" s="214"/>
      <c r="J124" s="1">
        <f>SUM(J120:J123)</f>
        <v>32495241.200000003</v>
      </c>
      <c r="K124" s="5" t="s">
        <v>4539</v>
      </c>
      <c r="L124" s="169">
        <v>1100000</v>
      </c>
      <c r="M124" s="169">
        <v>2904000</v>
      </c>
      <c r="N124" s="168">
        <f t="shared" si="30"/>
        <v>164</v>
      </c>
      <c r="Q124" s="169">
        <v>8382674</v>
      </c>
      <c r="R124" s="214" t="s">
        <v>5006</v>
      </c>
      <c r="S124" s="214">
        <f>S123-7</f>
        <v>18</v>
      </c>
      <c r="T124" s="214" t="s">
        <v>5012</v>
      </c>
      <c r="U124" s="214">
        <v>192</v>
      </c>
      <c r="V124" s="99">
        <f t="shared" si="29"/>
        <v>196.80157808219178</v>
      </c>
      <c r="W124" s="32">
        <f t="shared" si="26"/>
        <v>200.73760964383561</v>
      </c>
      <c r="X124" s="32">
        <f t="shared" si="27"/>
        <v>204.67364120547947</v>
      </c>
      <c r="Y124" s="122" t="s">
        <v>25</v>
      </c>
      <c r="AH124" s="99">
        <v>104</v>
      </c>
      <c r="AI124" s="113" t="s">
        <v>4626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4635</v>
      </c>
    </row>
    <row r="125" spans="6:46">
      <c r="F125" s="214"/>
      <c r="G125" s="214"/>
      <c r="H125" s="214"/>
      <c r="I125" s="214"/>
      <c r="J125" s="214" t="s">
        <v>6</v>
      </c>
      <c r="K125" s="56" t="s">
        <v>1086</v>
      </c>
      <c r="L125" s="169">
        <v>1100000</v>
      </c>
      <c r="M125" s="169">
        <v>3400000</v>
      </c>
      <c r="N125" s="168">
        <f t="shared" si="30"/>
        <v>209.09090909090909</v>
      </c>
      <c r="Q125" s="169">
        <v>190884649</v>
      </c>
      <c r="R125" s="214" t="s">
        <v>5032</v>
      </c>
      <c r="S125" s="214">
        <f>S124-9</f>
        <v>9</v>
      </c>
      <c r="T125" s="214" t="s">
        <v>5035</v>
      </c>
      <c r="U125" s="214">
        <v>193.6</v>
      </c>
      <c r="V125" s="99">
        <f t="shared" si="29"/>
        <v>197.10495561643839</v>
      </c>
      <c r="W125" s="32">
        <f t="shared" si="26"/>
        <v>201.04705472876716</v>
      </c>
      <c r="X125" s="32">
        <f t="shared" si="27"/>
        <v>204.98915384109594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4636</v>
      </c>
      <c r="AP125" t="s">
        <v>25</v>
      </c>
    </row>
    <row r="126" spans="6:46">
      <c r="K126" s="244" t="s">
        <v>4568</v>
      </c>
      <c r="P126" s="114"/>
      <c r="Q126" s="169">
        <v>2099962</v>
      </c>
      <c r="R126" s="214" t="s">
        <v>5034</v>
      </c>
      <c r="S126" s="214">
        <f>S125-1</f>
        <v>8</v>
      </c>
      <c r="T126" s="214" t="s">
        <v>5041</v>
      </c>
      <c r="U126" s="214">
        <v>196.5</v>
      </c>
      <c r="V126" s="99">
        <f t="shared" si="29"/>
        <v>199.90671780821918</v>
      </c>
      <c r="W126" s="32">
        <f t="shared" si="26"/>
        <v>203.90485216438358</v>
      </c>
      <c r="X126" s="32">
        <f t="shared" si="27"/>
        <v>207.90298652054796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  <c r="AQ126" t="s">
        <v>25</v>
      </c>
    </row>
    <row r="127" spans="6:46">
      <c r="K127" s="244" t="s">
        <v>4569</v>
      </c>
      <c r="Q127" s="169">
        <v>58222</v>
      </c>
      <c r="R127" s="214" t="s">
        <v>5034</v>
      </c>
      <c r="S127" s="214">
        <f>S126</f>
        <v>8</v>
      </c>
      <c r="T127" s="214" t="s">
        <v>5044</v>
      </c>
      <c r="U127" s="214">
        <v>420</v>
      </c>
      <c r="V127" s="99">
        <f t="shared" si="29"/>
        <v>427.28153424657535</v>
      </c>
      <c r="W127" s="32">
        <f t="shared" si="26"/>
        <v>435.82716493150684</v>
      </c>
      <c r="X127" s="32">
        <f t="shared" si="27"/>
        <v>444.3727956164384</v>
      </c>
      <c r="AH127" s="149">
        <v>107</v>
      </c>
      <c r="AI127" s="189" t="s">
        <v>4633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2"/>
        <v>-3036600</v>
      </c>
      <c r="AN127" s="149" t="s">
        <v>4644</v>
      </c>
    </row>
    <row r="128" spans="6:46">
      <c r="K128" s="244" t="s">
        <v>4570</v>
      </c>
      <c r="Q128" s="169">
        <v>130756</v>
      </c>
      <c r="R128" s="214" t="s">
        <v>5042</v>
      </c>
      <c r="S128" s="214">
        <f>S127-1</f>
        <v>7</v>
      </c>
      <c r="T128" s="214" t="s">
        <v>5047</v>
      </c>
      <c r="U128" s="214">
        <v>197.8</v>
      </c>
      <c r="V128" s="99">
        <f t="shared" si="29"/>
        <v>201.07751890410964</v>
      </c>
      <c r="W128" s="32">
        <f t="shared" si="26"/>
        <v>205.09906928219183</v>
      </c>
      <c r="X128" s="32">
        <f t="shared" si="27"/>
        <v>209.12061966027403</v>
      </c>
      <c r="AH128" s="89">
        <v>108</v>
      </c>
      <c r="AI128" s="90" t="s">
        <v>4633</v>
      </c>
      <c r="AJ128" s="90">
        <v>39327293</v>
      </c>
      <c r="AK128" s="89">
        <v>4</v>
      </c>
      <c r="AL128" s="149">
        <f t="shared" si="34"/>
        <v>63</v>
      </c>
      <c r="AM128" s="189">
        <f t="shared" si="32"/>
        <v>2477619459</v>
      </c>
      <c r="AN128" s="89" t="s">
        <v>4645</v>
      </c>
    </row>
    <row r="129" spans="10:43">
      <c r="Q129" s="169">
        <v>60694</v>
      </c>
      <c r="R129" s="214" t="s">
        <v>5053</v>
      </c>
      <c r="S129" s="214">
        <f>S128-4</f>
        <v>3</v>
      </c>
      <c r="T129" s="214" t="s">
        <v>5060</v>
      </c>
      <c r="U129" s="214">
        <v>570</v>
      </c>
      <c r="V129" s="99">
        <f t="shared" si="29"/>
        <v>577.69578082191788</v>
      </c>
      <c r="W129" s="32">
        <f t="shared" si="26"/>
        <v>589.2496964383563</v>
      </c>
      <c r="X129" s="32">
        <f t="shared" si="27"/>
        <v>600.8036120547946</v>
      </c>
      <c r="Y129" t="s">
        <v>25</v>
      </c>
      <c r="AH129" s="89">
        <v>109</v>
      </c>
      <c r="AI129" s="90" t="s">
        <v>4660</v>
      </c>
      <c r="AJ129" s="90">
        <v>8749050</v>
      </c>
      <c r="AK129" s="89">
        <v>1</v>
      </c>
      <c r="AL129" s="89">
        <f t="shared" si="34"/>
        <v>59</v>
      </c>
      <c r="AM129" s="90">
        <f t="shared" si="32"/>
        <v>516193950</v>
      </c>
      <c r="AN129" s="89" t="s">
        <v>4663</v>
      </c>
    </row>
    <row r="130" spans="10:43">
      <c r="J130" t="s">
        <v>25</v>
      </c>
      <c r="Q130" s="169">
        <v>795874</v>
      </c>
      <c r="R130" s="214" t="s">
        <v>5063</v>
      </c>
      <c r="S130" s="214">
        <f>S129-2</f>
        <v>1</v>
      </c>
      <c r="T130" s="214" t="s">
        <v>5064</v>
      </c>
      <c r="U130" s="214">
        <v>198.1</v>
      </c>
      <c r="V130" s="99">
        <f t="shared" si="29"/>
        <v>200.47068712328766</v>
      </c>
      <c r="W130" s="32">
        <f t="shared" si="26"/>
        <v>204.48010086575343</v>
      </c>
      <c r="X130" s="32">
        <f t="shared" si="27"/>
        <v>208.48951460821917</v>
      </c>
      <c r="Z130" t="s">
        <v>25</v>
      </c>
      <c r="AH130" s="99">
        <v>110</v>
      </c>
      <c r="AI130" s="113" t="s">
        <v>4665</v>
      </c>
      <c r="AJ130" s="113">
        <v>60000</v>
      </c>
      <c r="AK130" s="99">
        <v>1</v>
      </c>
      <c r="AL130" s="99">
        <f t="shared" si="34"/>
        <v>58</v>
      </c>
      <c r="AM130" s="117">
        <f t="shared" si="32"/>
        <v>3480000</v>
      </c>
      <c r="AN130" s="99" t="s">
        <v>4666</v>
      </c>
    </row>
    <row r="131" spans="10:43">
      <c r="Q131" s="169">
        <v>400348</v>
      </c>
      <c r="R131" s="214" t="s">
        <v>5066</v>
      </c>
      <c r="S131" s="214">
        <f>S130-1</f>
        <v>0</v>
      </c>
      <c r="T131" s="214" t="s">
        <v>5069</v>
      </c>
      <c r="U131" s="214">
        <v>199.3</v>
      </c>
      <c r="V131" s="99">
        <f t="shared" si="29"/>
        <v>201.53216000000003</v>
      </c>
      <c r="W131" s="32">
        <f t="shared" si="26"/>
        <v>205.56280320000005</v>
      </c>
      <c r="X131" s="32">
        <f t="shared" si="27"/>
        <v>209.59344640000003</v>
      </c>
      <c r="Y131" t="s">
        <v>25</v>
      </c>
      <c r="AH131" s="20">
        <v>111</v>
      </c>
      <c r="AI131" s="117" t="s">
        <v>4675</v>
      </c>
      <c r="AJ131" s="117">
        <v>4750000</v>
      </c>
      <c r="AK131" s="20">
        <v>0</v>
      </c>
      <c r="AL131" s="99">
        <f t="shared" si="34"/>
        <v>57</v>
      </c>
      <c r="AM131" s="117">
        <f t="shared" si="32"/>
        <v>270750000</v>
      </c>
      <c r="AN131" s="20"/>
      <c r="AQ131" t="s">
        <v>25</v>
      </c>
    </row>
    <row r="132" spans="10:43">
      <c r="Q132" s="169"/>
      <c r="R132" s="168"/>
      <c r="S132" s="168"/>
      <c r="T132" s="168"/>
      <c r="U132" s="168"/>
      <c r="V132" s="99">
        <f t="shared" si="29"/>
        <v>0</v>
      </c>
      <c r="W132" s="32">
        <f t="shared" si="26"/>
        <v>0</v>
      </c>
      <c r="X132" s="32">
        <f t="shared" si="27"/>
        <v>0</v>
      </c>
      <c r="AH132" s="89">
        <v>112</v>
      </c>
      <c r="AI132" s="90" t="s">
        <v>4675</v>
      </c>
      <c r="AJ132" s="90">
        <v>13101160</v>
      </c>
      <c r="AK132" s="89">
        <v>1</v>
      </c>
      <c r="AL132" s="89">
        <f t="shared" si="34"/>
        <v>57</v>
      </c>
      <c r="AM132" s="90">
        <f t="shared" si="32"/>
        <v>746766120</v>
      </c>
      <c r="AN132" s="89" t="s">
        <v>4679</v>
      </c>
    </row>
    <row r="133" spans="10:43">
      <c r="Q133" s="113">
        <f>SUM(N44:N51)-SUM(Q81:Q132)</f>
        <v>33303287.600000024</v>
      </c>
      <c r="R133" s="112"/>
      <c r="S133" s="112"/>
      <c r="T133" s="112"/>
      <c r="U133" s="168"/>
      <c r="V133" s="99" t="s">
        <v>25</v>
      </c>
      <c r="W133" s="32"/>
      <c r="X133" s="32"/>
      <c r="AH133" s="20">
        <v>113</v>
      </c>
      <c r="AI133" s="117" t="s">
        <v>4678</v>
      </c>
      <c r="AJ133" s="117">
        <v>-980000</v>
      </c>
      <c r="AK133" s="20">
        <v>0</v>
      </c>
      <c r="AL133" s="99">
        <f t="shared" si="34"/>
        <v>56</v>
      </c>
      <c r="AM133" s="117">
        <f t="shared" si="32"/>
        <v>-54880000</v>
      </c>
      <c r="AN133" s="20"/>
    </row>
    <row r="134" spans="10:43">
      <c r="M134">
        <v>236</v>
      </c>
      <c r="N134">
        <v>3</v>
      </c>
      <c r="Q134" s="26"/>
      <c r="R134" s="181"/>
      <c r="S134" s="181"/>
      <c r="T134" t="s">
        <v>25</v>
      </c>
      <c r="U134" s="96" t="s">
        <v>25</v>
      </c>
      <c r="V134" s="96" t="s">
        <v>25</v>
      </c>
      <c r="W134" s="96" t="s">
        <v>25</v>
      </c>
      <c r="AH134" s="89">
        <v>114</v>
      </c>
      <c r="AI134" s="90" t="s">
        <v>4678</v>
      </c>
      <c r="AJ134" s="90">
        <v>13301790</v>
      </c>
      <c r="AK134" s="89">
        <v>0</v>
      </c>
      <c r="AL134" s="89">
        <f t="shared" si="34"/>
        <v>56</v>
      </c>
      <c r="AM134" s="90">
        <f t="shared" si="32"/>
        <v>744900240</v>
      </c>
      <c r="AN134" s="89" t="s">
        <v>4679</v>
      </c>
      <c r="AQ134" t="s">
        <v>25</v>
      </c>
    </row>
    <row r="135" spans="10:43">
      <c r="M135">
        <v>126</v>
      </c>
      <c r="N135">
        <v>1</v>
      </c>
      <c r="O135">
        <f>M134*N134</f>
        <v>708</v>
      </c>
      <c r="R135" s="32" t="s">
        <v>4572</v>
      </c>
      <c r="S135" s="32" t="s">
        <v>950</v>
      </c>
      <c r="T135" t="s">
        <v>25</v>
      </c>
      <c r="U135" s="96" t="s">
        <v>25</v>
      </c>
      <c r="V135" s="96" t="s">
        <v>25</v>
      </c>
      <c r="W135" s="96" t="s">
        <v>25</v>
      </c>
      <c r="X135" s="122" t="s">
        <v>25</v>
      </c>
      <c r="AH135" s="20">
        <v>115</v>
      </c>
      <c r="AI135" s="117" t="s">
        <v>4678</v>
      </c>
      <c r="AJ135" s="117">
        <v>404000</v>
      </c>
      <c r="AK135" s="20">
        <v>5</v>
      </c>
      <c r="AL135" s="99">
        <f t="shared" si="34"/>
        <v>56</v>
      </c>
      <c r="AM135" s="117">
        <f t="shared" si="32"/>
        <v>22624000</v>
      </c>
      <c r="AN135" s="20" t="s">
        <v>4687</v>
      </c>
    </row>
    <row r="136" spans="10:43">
      <c r="L136">
        <v>821</v>
      </c>
      <c r="M136">
        <v>590</v>
      </c>
      <c r="N136">
        <v>0</v>
      </c>
      <c r="O136">
        <f>M135*N135</f>
        <v>126</v>
      </c>
      <c r="R136" s="32">
        <v>2480</v>
      </c>
      <c r="S136" s="235">
        <v>13041741</v>
      </c>
      <c r="U136" s="96" t="s">
        <v>25</v>
      </c>
      <c r="V136" s="122" t="s">
        <v>25</v>
      </c>
      <c r="W136" s="96" t="s">
        <v>25</v>
      </c>
      <c r="X136" t="s">
        <v>25</v>
      </c>
      <c r="AH136" s="89">
        <v>116</v>
      </c>
      <c r="AI136" s="90" t="s">
        <v>4703</v>
      </c>
      <c r="AJ136" s="90">
        <v>4291628</v>
      </c>
      <c r="AK136" s="89">
        <v>2</v>
      </c>
      <c r="AL136" s="89">
        <f t="shared" si="34"/>
        <v>51</v>
      </c>
      <c r="AM136" s="90">
        <f t="shared" si="32"/>
        <v>218873028</v>
      </c>
      <c r="AN136" s="89" t="s">
        <v>4705</v>
      </c>
    </row>
    <row r="137" spans="10:43">
      <c r="O137" s="96">
        <f>M136*N136</f>
        <v>0</v>
      </c>
      <c r="Q137" t="s">
        <v>25</v>
      </c>
      <c r="R137" s="32">
        <v>1450</v>
      </c>
      <c r="S137" s="1">
        <f>S136*R137/R136</f>
        <v>7625211.4717741935</v>
      </c>
      <c r="U137" s="96" t="s">
        <v>25</v>
      </c>
      <c r="V137" s="122" t="s">
        <v>25</v>
      </c>
      <c r="W137" s="96" t="s">
        <v>25</v>
      </c>
      <c r="X137" t="s">
        <v>25</v>
      </c>
      <c r="Z137" t="s">
        <v>25</v>
      </c>
      <c r="AH137" s="20">
        <v>117</v>
      </c>
      <c r="AI137" s="117" t="s">
        <v>4707</v>
      </c>
      <c r="AJ137" s="117">
        <v>1000</v>
      </c>
      <c r="AK137" s="20">
        <v>5</v>
      </c>
      <c r="AL137" s="20">
        <f t="shared" si="34"/>
        <v>49</v>
      </c>
      <c r="AM137" s="117">
        <f t="shared" si="32"/>
        <v>49000</v>
      </c>
      <c r="AN137" s="20"/>
    </row>
    <row r="138" spans="10:43">
      <c r="R138" s="32">
        <f>R136-R137</f>
        <v>1030</v>
      </c>
      <c r="S138" s="1">
        <f>R138*S136/R136</f>
        <v>5416529.5282258065</v>
      </c>
      <c r="U138" s="122" t="s">
        <v>25</v>
      </c>
      <c r="V138" s="96"/>
      <c r="W138"/>
      <c r="X138" t="s">
        <v>25</v>
      </c>
      <c r="AH138" s="121">
        <v>118</v>
      </c>
      <c r="AI138" s="79" t="s">
        <v>4715</v>
      </c>
      <c r="AJ138" s="79">
        <v>8739459</v>
      </c>
      <c r="AK138" s="121">
        <v>2</v>
      </c>
      <c r="AL138" s="121">
        <f t="shared" si="34"/>
        <v>44</v>
      </c>
      <c r="AM138" s="79">
        <f t="shared" si="32"/>
        <v>384536196</v>
      </c>
      <c r="AN138" s="121" t="s">
        <v>4663</v>
      </c>
    </row>
    <row r="139" spans="10:43">
      <c r="O139">
        <f>O135+O136+O137</f>
        <v>834</v>
      </c>
      <c r="V139" s="96"/>
      <c r="W139"/>
      <c r="X139" t="s">
        <v>25</v>
      </c>
      <c r="AH139" s="121">
        <v>119</v>
      </c>
      <c r="AI139" s="79" t="s">
        <v>4716</v>
      </c>
      <c r="AJ139" s="79">
        <v>17595278</v>
      </c>
      <c r="AK139" s="121">
        <v>1</v>
      </c>
      <c r="AL139" s="121">
        <f t="shared" si="34"/>
        <v>42</v>
      </c>
      <c r="AM139" s="79">
        <f t="shared" si="32"/>
        <v>739001676</v>
      </c>
      <c r="AN139" s="121" t="s">
        <v>4719</v>
      </c>
      <c r="AQ139" t="s">
        <v>25</v>
      </c>
    </row>
    <row r="140" spans="10:43">
      <c r="P140">
        <f>R144+743</f>
        <v>1696523</v>
      </c>
      <c r="Q140" s="99" t="s">
        <v>4462</v>
      </c>
      <c r="R140" s="99" t="s">
        <v>4464</v>
      </c>
      <c r="S140" s="99"/>
      <c r="T140" s="99" t="s">
        <v>4465</v>
      </c>
      <c r="U140" s="99"/>
      <c r="V140" s="99"/>
      <c r="W140" s="99" t="s">
        <v>4575</v>
      </c>
      <c r="AH140" s="121">
        <v>120</v>
      </c>
      <c r="AI140" s="79" t="s">
        <v>4718</v>
      </c>
      <c r="AJ140" s="79">
        <v>13335309</v>
      </c>
      <c r="AK140" s="121">
        <v>13</v>
      </c>
      <c r="AL140" s="121">
        <f t="shared" si="34"/>
        <v>41</v>
      </c>
      <c r="AM140" s="79">
        <f t="shared" si="32"/>
        <v>546747669</v>
      </c>
      <c r="AN140" s="121" t="s">
        <v>4679</v>
      </c>
    </row>
    <row r="141" spans="10:43">
      <c r="Q141" s="113">
        <v>1000</v>
      </c>
      <c r="R141" s="99">
        <v>0.25</v>
      </c>
      <c r="S141" s="99"/>
      <c r="T141" s="99">
        <f>1-R141</f>
        <v>0.75</v>
      </c>
      <c r="U141" s="99"/>
      <c r="V141" s="99"/>
      <c r="W141" s="99"/>
      <c r="Y141" t="s">
        <v>25</v>
      </c>
      <c r="AA141" t="s">
        <v>25</v>
      </c>
      <c r="AH141" s="161">
        <v>121</v>
      </c>
      <c r="AI141" s="229" t="s">
        <v>4774</v>
      </c>
      <c r="AJ141" s="229">
        <v>50000000</v>
      </c>
      <c r="AK141" s="161">
        <v>11</v>
      </c>
      <c r="AL141" s="161">
        <f t="shared" si="34"/>
        <v>28</v>
      </c>
      <c r="AM141" s="229">
        <f t="shared" si="32"/>
        <v>1400000000</v>
      </c>
      <c r="AN141" s="161" t="s">
        <v>4776</v>
      </c>
      <c r="AP141" t="s">
        <v>25</v>
      </c>
    </row>
    <row r="142" spans="10:43">
      <c r="Q142" s="168" t="s">
        <v>4449</v>
      </c>
      <c r="R142" s="168" t="s">
        <v>4467</v>
      </c>
      <c r="S142" s="168" t="s">
        <v>4469</v>
      </c>
      <c r="T142" s="168"/>
      <c r="U142" s="168" t="s">
        <v>4463</v>
      </c>
      <c r="V142" s="56" t="s">
        <v>4466</v>
      </c>
      <c r="W142" s="99"/>
      <c r="X142" s="115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2"/>
        <v>510000</v>
      </c>
      <c r="AN142" s="20"/>
    </row>
    <row r="143" spans="10:43">
      <c r="Q143" s="168" t="s">
        <v>751</v>
      </c>
      <c r="R143" s="56">
        <v>1716161</v>
      </c>
      <c r="S143" s="113">
        <f>R143*$T$234</f>
        <v>567050031.27426016</v>
      </c>
      <c r="T143" s="168"/>
      <c r="U143" s="168">
        <f>$Q$141*$T$141*S143/$R$167</f>
        <v>360.61792682916575</v>
      </c>
      <c r="V143" s="95">
        <f>S143+U143</f>
        <v>567050391.892187</v>
      </c>
      <c r="W143" s="99">
        <f>R143*100/U231</f>
        <v>48.082390243888774</v>
      </c>
      <c r="X143" s="218"/>
      <c r="Y143" t="s">
        <v>25</v>
      </c>
      <c r="AH143" s="20">
        <v>123</v>
      </c>
      <c r="AI143" s="117" t="s">
        <v>4846</v>
      </c>
      <c r="AJ143" s="117">
        <v>600000</v>
      </c>
      <c r="AK143" s="20">
        <v>1</v>
      </c>
      <c r="AL143" s="20">
        <f t="shared" si="34"/>
        <v>14</v>
      </c>
      <c r="AM143" s="117">
        <f t="shared" si="32"/>
        <v>8400000</v>
      </c>
      <c r="AN143" s="20"/>
    </row>
    <row r="144" spans="10:43">
      <c r="P144" s="114"/>
      <c r="Q144" s="168" t="s">
        <v>4451</v>
      </c>
      <c r="R144" s="56">
        <v>1695780</v>
      </c>
      <c r="S144" s="113">
        <f>R144*$T$234</f>
        <v>560315787.40821218</v>
      </c>
      <c r="T144" s="168"/>
      <c r="U144" s="214">
        <f>$Q$141*$T$141*S144/$R$167</f>
        <v>356.33525523442302</v>
      </c>
      <c r="V144" s="95">
        <f t="shared" ref="V144:V145" si="35">S144+U144</f>
        <v>560316143.74346745</v>
      </c>
      <c r="W144" s="99">
        <f>R144*100/U231</f>
        <v>47.511367364589745</v>
      </c>
      <c r="X144" s="115"/>
      <c r="Y144" t="s">
        <v>25</v>
      </c>
      <c r="AH144" s="20">
        <v>124</v>
      </c>
      <c r="AI144" s="117" t="s">
        <v>4853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6:44">
      <c r="Q145" s="168" t="s">
        <v>4450</v>
      </c>
      <c r="R145" s="56">
        <v>53811</v>
      </c>
      <c r="S145" s="113">
        <f>R145*$T$234</f>
        <v>17780108.761881441</v>
      </c>
      <c r="T145" s="168"/>
      <c r="U145" s="214">
        <f>$Q$141*$T$141*S145/$R$167</f>
        <v>11.307337283975246</v>
      </c>
      <c r="V145" s="95">
        <f t="shared" si="35"/>
        <v>17780120.069218725</v>
      </c>
      <c r="W145" s="99">
        <f>R145*100/U231</f>
        <v>1.5076449711966993</v>
      </c>
      <c r="X145" s="115"/>
      <c r="AH145" s="20">
        <v>125</v>
      </c>
      <c r="AI145" s="117" t="s">
        <v>4860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6">AJ145*AL145</f>
        <v>15750000</v>
      </c>
      <c r="AN145" s="20"/>
      <c r="AR145" t="s">
        <v>25</v>
      </c>
    </row>
    <row r="146" spans="6:44">
      <c r="F146" t="s">
        <v>4849</v>
      </c>
      <c r="G146">
        <v>1200</v>
      </c>
      <c r="H146" t="s">
        <v>4850</v>
      </c>
      <c r="Q146" s="168" t="s">
        <v>1087</v>
      </c>
      <c r="R146" s="56">
        <v>103457</v>
      </c>
      <c r="S146" s="113">
        <f>R146*$T$234</f>
        <v>34184027.655646019</v>
      </c>
      <c r="T146" s="168"/>
      <c r="U146" s="214">
        <f>$Q$141*$T$141*S146/$R$167</f>
        <v>21.739480652435869</v>
      </c>
      <c r="V146" s="95">
        <f>S146+U146</f>
        <v>34184049.395126671</v>
      </c>
      <c r="W146" s="99">
        <f>R146*100/U231</f>
        <v>2.8985974203247835</v>
      </c>
      <c r="X146" s="115"/>
      <c r="AH146" s="23">
        <v>126</v>
      </c>
      <c r="AI146" s="35" t="s">
        <v>4865</v>
      </c>
      <c r="AJ146" s="35">
        <v>-31412200</v>
      </c>
      <c r="AK146" s="23">
        <v>1</v>
      </c>
      <c r="AL146" s="23">
        <f>AL164+AK146</f>
        <v>1</v>
      </c>
      <c r="AM146" s="35">
        <f t="shared" si="36"/>
        <v>-31412200</v>
      </c>
      <c r="AN146" s="23" t="s">
        <v>4848</v>
      </c>
    </row>
    <row r="147" spans="6:44">
      <c r="G147">
        <v>1350</v>
      </c>
      <c r="H147" t="s">
        <v>4851</v>
      </c>
      <c r="Q147" s="168"/>
      <c r="R147" s="56"/>
      <c r="S147" s="168"/>
      <c r="T147" s="168"/>
      <c r="U147" s="168"/>
      <c r="V147" s="168"/>
      <c r="W147" s="99"/>
      <c r="X147" s="96"/>
      <c r="Z147" s="96"/>
      <c r="AH147" s="20">
        <v>127</v>
      </c>
      <c r="AI147" s="117" t="s">
        <v>4874</v>
      </c>
      <c r="AJ147" s="117">
        <v>70000</v>
      </c>
      <c r="AK147" s="20">
        <v>9</v>
      </c>
      <c r="AL147" s="20">
        <f>AL165+AK147</f>
        <v>9</v>
      </c>
      <c r="AM147" s="117">
        <f t="shared" si="36"/>
        <v>630000</v>
      </c>
      <c r="AN147" s="20"/>
    </row>
    <row r="148" spans="6:44">
      <c r="G148">
        <v>1050</v>
      </c>
      <c r="H148" t="s">
        <v>4852</v>
      </c>
      <c r="Q148" s="168"/>
      <c r="R148" s="168"/>
      <c r="S148" s="168"/>
      <c r="T148" s="168"/>
      <c r="U148" s="168"/>
      <c r="V148" s="168"/>
      <c r="W148" s="99"/>
      <c r="X148" s="96"/>
      <c r="Z148" s="96"/>
      <c r="AH148" s="99">
        <v>128</v>
      </c>
      <c r="AI148" s="113" t="s">
        <v>4883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7">AJ148*AL148</f>
        <v>200000</v>
      </c>
      <c r="AN148" s="20"/>
      <c r="AP148" t="s">
        <v>25</v>
      </c>
    </row>
    <row r="149" spans="6:44">
      <c r="P149" s="114"/>
      <c r="Q149" s="99"/>
      <c r="R149" s="99"/>
      <c r="S149" s="99"/>
      <c r="T149" s="99" t="s">
        <v>25</v>
      </c>
      <c r="U149" s="99"/>
      <c r="V149" s="99"/>
      <c r="W149" s="99"/>
      <c r="X149" s="96"/>
      <c r="Z149" s="96"/>
      <c r="AH149" s="99">
        <v>129</v>
      </c>
      <c r="AI149" s="113" t="s">
        <v>4907</v>
      </c>
      <c r="AJ149" s="113">
        <v>1000000</v>
      </c>
      <c r="AK149" s="99">
        <v>1</v>
      </c>
      <c r="AL149" s="20">
        <f>AL167+AK149</f>
        <v>1</v>
      </c>
      <c r="AM149" s="117">
        <f t="shared" si="37"/>
        <v>1000000</v>
      </c>
      <c r="AN149" s="20"/>
    </row>
    <row r="150" spans="6:44">
      <c r="Q150" s="99"/>
      <c r="R150" s="99"/>
      <c r="S150" s="99"/>
      <c r="T150" s="99"/>
      <c r="U150" s="99"/>
      <c r="V150" s="99"/>
      <c r="W150" s="99"/>
      <c r="X150" s="96"/>
      <c r="Z150" s="96"/>
      <c r="AA150" s="114"/>
      <c r="AC150" s="114"/>
      <c r="AD150" s="114"/>
      <c r="AH150" s="99">
        <v>130</v>
      </c>
      <c r="AI150" s="113" t="s">
        <v>4908</v>
      </c>
      <c r="AJ150" s="113">
        <v>65630227</v>
      </c>
      <c r="AK150" s="99">
        <v>0</v>
      </c>
      <c r="AL150" s="20">
        <f t="shared" ref="AL150:AL162" si="38">AL168+AK150</f>
        <v>0</v>
      </c>
      <c r="AM150" s="117">
        <f t="shared" ref="AM150:AM163" si="39">AJ150*AL150</f>
        <v>0</v>
      </c>
      <c r="AN150" s="20" t="s">
        <v>4912</v>
      </c>
      <c r="AP150" t="s">
        <v>25</v>
      </c>
      <c r="AR150" t="s">
        <v>25</v>
      </c>
    </row>
    <row r="151" spans="6:44">
      <c r="Q151" s="99"/>
      <c r="R151" s="99"/>
      <c r="S151" s="99"/>
      <c r="T151" s="99"/>
      <c r="U151" s="99"/>
      <c r="V151" s="99"/>
      <c r="W151" s="99"/>
      <c r="X151" s="96"/>
      <c r="Z151" s="96"/>
      <c r="AA151" s="114"/>
      <c r="AC151" s="114"/>
      <c r="AH151" s="99">
        <v>131</v>
      </c>
      <c r="AI151" s="113" t="s">
        <v>4908</v>
      </c>
      <c r="AJ151" s="113">
        <v>-3500000</v>
      </c>
      <c r="AK151" s="99">
        <v>6</v>
      </c>
      <c r="AL151" s="20">
        <f t="shared" si="38"/>
        <v>6</v>
      </c>
      <c r="AM151" s="117">
        <f t="shared" si="39"/>
        <v>-21000000</v>
      </c>
      <c r="AN151" s="20" t="s">
        <v>4911</v>
      </c>
    </row>
    <row r="152" spans="6:44">
      <c r="Q152" s="96"/>
      <c r="R152" s="96"/>
      <c r="S152" s="96"/>
      <c r="T152" s="96"/>
      <c r="V152" s="96"/>
      <c r="X152" s="115"/>
      <c r="Z152" s="96"/>
      <c r="AA152" s="114"/>
      <c r="AC152" s="114"/>
      <c r="AD152" s="114"/>
      <c r="AH152" s="99">
        <v>132</v>
      </c>
      <c r="AI152" s="113" t="s">
        <v>4925</v>
      </c>
      <c r="AJ152" s="113">
        <v>2520000</v>
      </c>
      <c r="AK152" s="99">
        <v>12</v>
      </c>
      <c r="AL152" s="20">
        <f t="shared" si="38"/>
        <v>12</v>
      </c>
      <c r="AM152" s="117">
        <f t="shared" si="39"/>
        <v>30240000</v>
      </c>
      <c r="AN152" s="20"/>
    </row>
    <row r="153" spans="6:44">
      <c r="Q153" s="96"/>
      <c r="R153" s="96"/>
      <c r="S153" s="96"/>
      <c r="T153" s="96"/>
      <c r="V153" s="96"/>
      <c r="Y153" s="96"/>
      <c r="Z153" s="96"/>
      <c r="AH153" s="99">
        <v>133</v>
      </c>
      <c r="AI153" s="113" t="s">
        <v>4962</v>
      </c>
      <c r="AJ153" s="113">
        <v>1400000</v>
      </c>
      <c r="AK153" s="99">
        <v>4</v>
      </c>
      <c r="AL153" s="20">
        <f t="shared" si="38"/>
        <v>4</v>
      </c>
      <c r="AM153" s="117">
        <f t="shared" si="39"/>
        <v>5600000</v>
      </c>
      <c r="AN153" s="20"/>
    </row>
    <row r="154" spans="6:44">
      <c r="Q154" s="96"/>
      <c r="R154" s="96"/>
      <c r="S154" s="96"/>
      <c r="T154" s="96" t="s">
        <v>25</v>
      </c>
      <c r="V154" s="96"/>
      <c r="Y154" s="96"/>
      <c r="Z154" s="96"/>
      <c r="AH154" s="99">
        <v>134</v>
      </c>
      <c r="AI154" s="113" t="s">
        <v>4989</v>
      </c>
      <c r="AJ154" s="113">
        <v>1550000</v>
      </c>
      <c r="AK154" s="99">
        <v>2</v>
      </c>
      <c r="AL154" s="20">
        <f t="shared" si="38"/>
        <v>2</v>
      </c>
      <c r="AM154" s="117">
        <f t="shared" si="39"/>
        <v>3100000</v>
      </c>
      <c r="AN154" s="20"/>
    </row>
    <row r="155" spans="6:44">
      <c r="Q155" s="96"/>
      <c r="R155" s="96"/>
      <c r="S155" s="96"/>
      <c r="T155" s="96"/>
      <c r="V155" s="96"/>
      <c r="Y155" s="96"/>
      <c r="Z155" s="96"/>
      <c r="AH155" s="99">
        <v>135</v>
      </c>
      <c r="AI155" s="113" t="s">
        <v>4934</v>
      </c>
      <c r="AJ155" s="113">
        <v>250000</v>
      </c>
      <c r="AK155" s="99">
        <v>6</v>
      </c>
      <c r="AL155" s="20">
        <f t="shared" si="38"/>
        <v>6</v>
      </c>
      <c r="AM155" s="117">
        <f t="shared" si="39"/>
        <v>1500000</v>
      </c>
      <c r="AN155" s="20"/>
    </row>
    <row r="156" spans="6:44">
      <c r="Q156" s="96"/>
      <c r="R156" s="96"/>
      <c r="S156" s="96"/>
      <c r="T156" s="99" t="s">
        <v>180</v>
      </c>
      <c r="U156" s="99" t="s">
        <v>4485</v>
      </c>
      <c r="V156" s="99" t="s">
        <v>4486</v>
      </c>
      <c r="W156" s="99" t="s">
        <v>4496</v>
      </c>
      <c r="X156" s="99" t="s">
        <v>8</v>
      </c>
      <c r="Y156" s="96"/>
      <c r="Z156" s="96"/>
      <c r="AH156" s="99">
        <v>136</v>
      </c>
      <c r="AI156" s="113" t="s">
        <v>4999</v>
      </c>
      <c r="AJ156" s="113">
        <v>-48527480</v>
      </c>
      <c r="AK156" s="99">
        <v>14</v>
      </c>
      <c r="AL156" s="20">
        <f t="shared" si="38"/>
        <v>14</v>
      </c>
      <c r="AM156" s="117">
        <f t="shared" si="39"/>
        <v>-679384720</v>
      </c>
      <c r="AN156" s="20" t="s">
        <v>5001</v>
      </c>
    </row>
    <row r="157" spans="6:44">
      <c r="P157" s="114"/>
      <c r="Q157" s="36" t="s">
        <v>4571</v>
      </c>
      <c r="R157" s="95">
        <f>SUM(N44:N51)</f>
        <v>719371308.60000002</v>
      </c>
      <c r="T157" s="113" t="s">
        <v>4461</v>
      </c>
      <c r="U157" s="56">
        <v>1000000</v>
      </c>
      <c r="V157" s="113">
        <v>239.024</v>
      </c>
      <c r="W157" s="113">
        <f t="shared" ref="W157:W229" si="40">U157*V157</f>
        <v>239024000</v>
      </c>
      <c r="X157" s="99"/>
      <c r="Y157" s="96"/>
      <c r="Z157" s="96"/>
      <c r="AH157" s="99">
        <v>137</v>
      </c>
      <c r="AI157" s="113" t="s">
        <v>5034</v>
      </c>
      <c r="AJ157" s="113">
        <v>2100000</v>
      </c>
      <c r="AK157" s="99">
        <v>1</v>
      </c>
      <c r="AL157" s="20">
        <f t="shared" si="38"/>
        <v>1</v>
      </c>
      <c r="AM157" s="117">
        <f t="shared" si="39"/>
        <v>2100000</v>
      </c>
      <c r="AN157" s="20"/>
    </row>
    <row r="158" spans="6:44">
      <c r="P158" s="114"/>
      <c r="Q158" s="99" t="s">
        <v>4452</v>
      </c>
      <c r="R158" s="95">
        <f>SUM(N21:N25)</f>
        <v>421207232.69999999</v>
      </c>
      <c r="T158" s="168" t="s">
        <v>4443</v>
      </c>
      <c r="U158" s="56">
        <v>5904</v>
      </c>
      <c r="V158" s="113">
        <v>237.148</v>
      </c>
      <c r="W158" s="113">
        <f t="shared" si="40"/>
        <v>1400121.7919999999</v>
      </c>
      <c r="X158" s="99" t="s">
        <v>751</v>
      </c>
      <c r="Y158" s="96"/>
      <c r="Z158" s="96"/>
      <c r="AH158" s="99">
        <v>138</v>
      </c>
      <c r="AI158" s="113" t="s">
        <v>5042</v>
      </c>
      <c r="AJ158" s="113">
        <v>100000</v>
      </c>
      <c r="AK158" s="99">
        <v>4</v>
      </c>
      <c r="AL158" s="20">
        <f t="shared" si="38"/>
        <v>4</v>
      </c>
      <c r="AM158" s="117">
        <f t="shared" si="39"/>
        <v>400000</v>
      </c>
      <c r="AN158" s="20"/>
      <c r="AQ158" t="s">
        <v>25</v>
      </c>
    </row>
    <row r="159" spans="6:44">
      <c r="P159" s="114"/>
      <c r="Q159" s="99" t="s">
        <v>4453</v>
      </c>
      <c r="R159" s="95">
        <f>SUM(N28:N31)</f>
        <v>38551367.800000004</v>
      </c>
      <c r="T159" s="168" t="s">
        <v>4232</v>
      </c>
      <c r="U159" s="168">
        <v>1000</v>
      </c>
      <c r="V159" s="113">
        <v>247.393</v>
      </c>
      <c r="W159" s="113">
        <f t="shared" si="40"/>
        <v>247393</v>
      </c>
      <c r="X159" s="99" t="s">
        <v>751</v>
      </c>
      <c r="Y159" s="96"/>
      <c r="Z159" s="96"/>
      <c r="AH159" s="99">
        <v>139</v>
      </c>
      <c r="AI159" s="113" t="s">
        <v>5053</v>
      </c>
      <c r="AJ159" s="113">
        <v>900000</v>
      </c>
      <c r="AK159" s="99">
        <v>3</v>
      </c>
      <c r="AL159" s="20">
        <f t="shared" si="38"/>
        <v>3</v>
      </c>
      <c r="AM159" s="117">
        <f t="shared" si="39"/>
        <v>2700000</v>
      </c>
      <c r="AN159" s="20"/>
      <c r="AP159" t="s">
        <v>25</v>
      </c>
    </row>
    <row r="160" spans="6:44">
      <c r="Q160" s="99" t="s">
        <v>4454</v>
      </c>
      <c r="R160" s="95">
        <f>N42</f>
        <v>0</v>
      </c>
      <c r="T160" s="168" t="s">
        <v>4497</v>
      </c>
      <c r="U160" s="168">
        <v>8071</v>
      </c>
      <c r="V160" s="113">
        <v>247.797</v>
      </c>
      <c r="W160" s="113">
        <f t="shared" si="40"/>
        <v>1999969.5870000001</v>
      </c>
      <c r="X160" s="99" t="s">
        <v>4450</v>
      </c>
      <c r="Y160" s="96"/>
      <c r="AH160" s="99">
        <v>140</v>
      </c>
      <c r="AI160" s="113" t="s">
        <v>5066</v>
      </c>
      <c r="AJ160" s="113">
        <v>241774</v>
      </c>
      <c r="AK160" s="99">
        <v>1</v>
      </c>
      <c r="AL160" s="20">
        <f t="shared" si="38"/>
        <v>1</v>
      </c>
      <c r="AM160" s="117">
        <f t="shared" si="39"/>
        <v>241774</v>
      </c>
      <c r="AN160" s="20"/>
      <c r="AQ160" t="s">
        <v>25</v>
      </c>
    </row>
    <row r="161" spans="15:43">
      <c r="Q161" s="99" t="s">
        <v>4455</v>
      </c>
      <c r="R161" s="95">
        <f>N20</f>
        <v>31</v>
      </c>
      <c r="T161" s="168" t="s">
        <v>4497</v>
      </c>
      <c r="U161" s="168">
        <v>53672</v>
      </c>
      <c r="V161" s="113">
        <v>247.797</v>
      </c>
      <c r="W161" s="113">
        <f t="shared" si="40"/>
        <v>13299760.584000001</v>
      </c>
      <c r="X161" s="99" t="s">
        <v>452</v>
      </c>
      <c r="Y161" s="96"/>
      <c r="AH161" s="99"/>
      <c r="AI161" s="113"/>
      <c r="AJ161" s="113"/>
      <c r="AK161" s="99"/>
      <c r="AL161" s="20">
        <f t="shared" si="38"/>
        <v>0</v>
      </c>
      <c r="AM161" s="117">
        <f t="shared" si="39"/>
        <v>0</v>
      </c>
      <c r="AN161" s="20"/>
      <c r="AQ161" t="s">
        <v>25</v>
      </c>
    </row>
    <row r="162" spans="15:43">
      <c r="Q162" s="99" t="s">
        <v>4456</v>
      </c>
      <c r="R162" s="95">
        <f>N27</f>
        <v>15</v>
      </c>
      <c r="T162" s="168" t="s">
        <v>4505</v>
      </c>
      <c r="U162" s="168">
        <v>4099</v>
      </c>
      <c r="V162" s="113">
        <v>243.93</v>
      </c>
      <c r="W162" s="113">
        <f t="shared" si="40"/>
        <v>999869.07000000007</v>
      </c>
      <c r="X162" s="99" t="s">
        <v>4450</v>
      </c>
      <c r="Y162" s="96"/>
      <c r="AH162" s="99"/>
      <c r="AI162" s="113"/>
      <c r="AJ162" s="113"/>
      <c r="AK162" s="99"/>
      <c r="AL162" s="20">
        <f t="shared" si="38"/>
        <v>0</v>
      </c>
      <c r="AM162" s="117">
        <f t="shared" si="39"/>
        <v>0</v>
      </c>
      <c r="AN162" s="20"/>
      <c r="AQ162" t="s">
        <v>25</v>
      </c>
    </row>
    <row r="163" spans="15:43">
      <c r="P163" s="114"/>
      <c r="Q163" s="99" t="s">
        <v>4468</v>
      </c>
      <c r="R163" s="95">
        <v>0</v>
      </c>
      <c r="T163" s="168" t="s">
        <v>4505</v>
      </c>
      <c r="U163" s="168">
        <v>9301</v>
      </c>
      <c r="V163" s="113">
        <v>243.93</v>
      </c>
      <c r="W163" s="113">
        <f t="shared" si="40"/>
        <v>2268792.9300000002</v>
      </c>
      <c r="X163" s="99" t="s">
        <v>452</v>
      </c>
      <c r="Y163" s="96"/>
      <c r="AH163" s="99"/>
      <c r="AI163" s="113"/>
      <c r="AJ163" s="113"/>
      <c r="AK163" s="99"/>
      <c r="AL163" s="20">
        <v>0</v>
      </c>
      <c r="AM163" s="117">
        <f t="shared" si="39"/>
        <v>0</v>
      </c>
      <c r="AN163" s="20"/>
    </row>
    <row r="164" spans="15:43">
      <c r="Q164" s="99" t="s">
        <v>4963</v>
      </c>
      <c r="R164" s="95">
        <v>0</v>
      </c>
      <c r="T164" s="168" t="s">
        <v>4511</v>
      </c>
      <c r="U164" s="168">
        <v>8334</v>
      </c>
      <c r="V164" s="113">
        <v>239.97</v>
      </c>
      <c r="W164" s="113">
        <f t="shared" si="40"/>
        <v>1999909.98</v>
      </c>
      <c r="X164" s="99" t="s">
        <v>4450</v>
      </c>
      <c r="Y164" s="96"/>
      <c r="AH164" s="99"/>
      <c r="AI164" s="113"/>
      <c r="AJ164" s="113"/>
      <c r="AK164" s="99"/>
      <c r="AL164" s="99">
        <f t="shared" si="34"/>
        <v>0</v>
      </c>
      <c r="AM164" s="117">
        <f t="shared" si="32"/>
        <v>0</v>
      </c>
      <c r="AN164" s="99"/>
    </row>
    <row r="165" spans="15:43">
      <c r="P165" s="114"/>
      <c r="Q165" s="99" t="s">
        <v>4881</v>
      </c>
      <c r="R165" s="95">
        <v>200000</v>
      </c>
      <c r="T165" s="168" t="s">
        <v>4231</v>
      </c>
      <c r="U165" s="168">
        <v>29041</v>
      </c>
      <c r="V165" s="113">
        <v>233.45</v>
      </c>
      <c r="W165" s="113">
        <f t="shared" si="40"/>
        <v>6779621.4499999993</v>
      </c>
      <c r="X165" s="99" t="s">
        <v>751</v>
      </c>
      <c r="Y165" s="96"/>
      <c r="AH165" s="99"/>
      <c r="AI165" s="99"/>
      <c r="AJ165" s="95">
        <f>SUM(AJ20:AJ164)</f>
        <v>534578407</v>
      </c>
      <c r="AK165" s="99"/>
      <c r="AL165" s="99"/>
      <c r="AM165" s="95">
        <f>SUM(AM20:AM164)</f>
        <v>64070069171</v>
      </c>
      <c r="AN165" s="95">
        <f>AM165*AN168/31</f>
        <v>34446962.673324421</v>
      </c>
    </row>
    <row r="166" spans="15:43">
      <c r="O166" s="96"/>
      <c r="Q166" s="99" t="s">
        <v>5002</v>
      </c>
      <c r="R166" s="95">
        <v>0</v>
      </c>
      <c r="S166" s="115"/>
      <c r="T166" s="168" t="s">
        <v>994</v>
      </c>
      <c r="U166" s="168">
        <v>12337</v>
      </c>
      <c r="V166" s="113">
        <v>243.16300000000001</v>
      </c>
      <c r="W166" s="113">
        <f t="shared" si="40"/>
        <v>2999901.9310000003</v>
      </c>
      <c r="X166" s="99" t="s">
        <v>4450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3">
      <c r="O167" s="96"/>
      <c r="Q167" s="99" t="s">
        <v>4460</v>
      </c>
      <c r="R167" s="95">
        <f>SUM(R157:R166)</f>
        <v>1179329955.0999999</v>
      </c>
      <c r="S167" s="122"/>
      <c r="T167" s="168" t="s">
        <v>4594</v>
      </c>
      <c r="U167" s="168">
        <v>-16118</v>
      </c>
      <c r="V167" s="113">
        <v>248.17</v>
      </c>
      <c r="W167" s="113">
        <f t="shared" si="40"/>
        <v>-4000004.0599999996</v>
      </c>
      <c r="X167" s="99" t="s">
        <v>751</v>
      </c>
      <c r="AH167" s="99"/>
      <c r="AI167" s="99"/>
      <c r="AJ167" s="99"/>
      <c r="AK167" s="99"/>
      <c r="AL167" s="99"/>
      <c r="AM167" s="99"/>
      <c r="AN167" s="99"/>
    </row>
    <row r="168" spans="15:43">
      <c r="Q168" s="96"/>
      <c r="S168" s="115"/>
      <c r="T168" s="168" t="s">
        <v>4622</v>
      </c>
      <c r="U168" s="168">
        <v>101681</v>
      </c>
      <c r="V168" s="113">
        <v>246.5711</v>
      </c>
      <c r="W168" s="113">
        <f t="shared" si="40"/>
        <v>25071596.019099999</v>
      </c>
      <c r="X168" s="99" t="s">
        <v>452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3">
      <c r="Q169" s="96"/>
      <c r="R169" s="182"/>
      <c r="S169" s="115"/>
      <c r="T169" s="168" t="s">
        <v>4626</v>
      </c>
      <c r="U169" s="168">
        <v>66606</v>
      </c>
      <c r="V169" s="113">
        <v>251.131</v>
      </c>
      <c r="W169" s="113">
        <f t="shared" si="40"/>
        <v>16726831.386</v>
      </c>
      <c r="X169" s="99" t="s">
        <v>751</v>
      </c>
      <c r="AH169" s="99"/>
      <c r="AI169" s="99"/>
      <c r="AJ169" s="99"/>
      <c r="AK169" s="99"/>
      <c r="AL169" s="99"/>
      <c r="AM169" s="99"/>
      <c r="AN169" s="99"/>
    </row>
    <row r="170" spans="15:43">
      <c r="Q170" s="96"/>
      <c r="R170" s="182"/>
      <c r="T170" s="168" t="s">
        <v>4631</v>
      </c>
      <c r="U170" s="168">
        <v>172025</v>
      </c>
      <c r="V170" s="113">
        <v>245.52809999999999</v>
      </c>
      <c r="W170" s="113">
        <f t="shared" si="40"/>
        <v>42236971.402499996</v>
      </c>
      <c r="X170" s="99" t="s">
        <v>452</v>
      </c>
      <c r="Y170" t="s">
        <v>25</v>
      </c>
      <c r="AH170" s="99"/>
      <c r="AI170" s="99" t="s">
        <v>4061</v>
      </c>
      <c r="AJ170" s="95">
        <f>AJ165+AN165</f>
        <v>569025369.67332447</v>
      </c>
      <c r="AK170" s="99"/>
      <c r="AL170" s="99"/>
      <c r="AM170" s="99"/>
      <c r="AN170" s="99"/>
    </row>
    <row r="171" spans="15:43">
      <c r="Q171" s="96"/>
      <c r="R171" s="115"/>
      <c r="T171" s="168" t="s">
        <v>4631</v>
      </c>
      <c r="U171" s="168">
        <v>189227</v>
      </c>
      <c r="V171" s="113">
        <v>245.52809999999999</v>
      </c>
      <c r="W171" s="113">
        <f t="shared" si="40"/>
        <v>46460545.778700002</v>
      </c>
      <c r="X171" s="99" t="s">
        <v>751</v>
      </c>
      <c r="AI171" t="s">
        <v>4064</v>
      </c>
      <c r="AJ171" s="114">
        <f>SUM(N42:N51)</f>
        <v>719371308.60000002</v>
      </c>
    </row>
    <row r="172" spans="15:43">
      <c r="T172" s="168" t="s">
        <v>4633</v>
      </c>
      <c r="U172" s="168">
        <v>79720</v>
      </c>
      <c r="V172" s="113">
        <v>246.6568</v>
      </c>
      <c r="W172" s="113">
        <f t="shared" si="40"/>
        <v>19663480.096000001</v>
      </c>
      <c r="X172" s="99" t="s">
        <v>452</v>
      </c>
      <c r="AI172" t="s">
        <v>4136</v>
      </c>
      <c r="AJ172" s="114">
        <f>AJ171-AJ165</f>
        <v>184792901.60000002</v>
      </c>
      <c r="AM172" t="s">
        <v>25</v>
      </c>
    </row>
    <row r="173" spans="15:43">
      <c r="P173" s="99" t="s">
        <v>8</v>
      </c>
      <c r="Q173" s="99" t="s">
        <v>4450</v>
      </c>
      <c r="R173" s="99"/>
      <c r="T173" s="168" t="s">
        <v>4633</v>
      </c>
      <c r="U173" s="168">
        <v>79720</v>
      </c>
      <c r="V173" s="113">
        <v>246.6568</v>
      </c>
      <c r="W173" s="113">
        <f t="shared" si="40"/>
        <v>19663480.096000001</v>
      </c>
      <c r="X173" s="99" t="s">
        <v>751</v>
      </c>
      <c r="AI173" t="s">
        <v>943</v>
      </c>
      <c r="AJ173" s="114">
        <f>AN165</f>
        <v>34446962.673324421</v>
      </c>
      <c r="AN173" t="s">
        <v>25</v>
      </c>
    </row>
    <row r="174" spans="15:43">
      <c r="P174" s="99"/>
      <c r="Q174" s="36" t="s">
        <v>180</v>
      </c>
      <c r="R174" s="99" t="s">
        <v>267</v>
      </c>
      <c r="T174" s="168" t="s">
        <v>4660</v>
      </c>
      <c r="U174" s="168">
        <v>17769</v>
      </c>
      <c r="V174" s="113">
        <v>246.17877999999999</v>
      </c>
      <c r="W174" s="113">
        <f t="shared" si="40"/>
        <v>4374350.7418200001</v>
      </c>
      <c r="X174" s="99" t="s">
        <v>751</v>
      </c>
      <c r="AI174" t="s">
        <v>4065</v>
      </c>
      <c r="AJ174" s="114">
        <f>AJ171-AJ170</f>
        <v>150345938.92667556</v>
      </c>
      <c r="AN174" t="s">
        <v>25</v>
      </c>
    </row>
    <row r="175" spans="15:43">
      <c r="P175" s="99"/>
      <c r="Q175" s="99" t="s">
        <v>4443</v>
      </c>
      <c r="R175" s="95">
        <v>3000000</v>
      </c>
      <c r="T175" s="168" t="s">
        <v>4660</v>
      </c>
      <c r="U175" s="168">
        <v>17769</v>
      </c>
      <c r="V175" s="113">
        <v>246.17877999999999</v>
      </c>
      <c r="W175" s="113">
        <f t="shared" si="40"/>
        <v>4374350.7418200001</v>
      </c>
      <c r="X175" s="99" t="s">
        <v>452</v>
      </c>
      <c r="AM175" t="s">
        <v>25</v>
      </c>
    </row>
    <row r="176" spans="15:43">
      <c r="P176" s="99"/>
      <c r="Q176" s="99" t="s">
        <v>4497</v>
      </c>
      <c r="R176" s="95">
        <v>2000000</v>
      </c>
      <c r="T176" s="168" t="s">
        <v>4665</v>
      </c>
      <c r="U176" s="168">
        <v>12438</v>
      </c>
      <c r="V176" s="113">
        <v>241.20465999999999</v>
      </c>
      <c r="W176" s="113">
        <f t="shared" si="40"/>
        <v>3000103.5610799999</v>
      </c>
      <c r="X176" s="99" t="s">
        <v>4450</v>
      </c>
      <c r="AJ176" t="s">
        <v>25</v>
      </c>
    </row>
    <row r="177" spans="16:44">
      <c r="P177" s="99"/>
      <c r="Q177" s="99" t="s">
        <v>4505</v>
      </c>
      <c r="R177" s="95">
        <v>1000000</v>
      </c>
      <c r="T177" s="168" t="s">
        <v>4675</v>
      </c>
      <c r="U177" s="168">
        <v>27363</v>
      </c>
      <c r="V177" s="113">
        <v>239.3886</v>
      </c>
      <c r="W177" s="113">
        <f t="shared" si="40"/>
        <v>6550390.2617999995</v>
      </c>
      <c r="X177" s="99" t="s">
        <v>751</v>
      </c>
    </row>
    <row r="178" spans="16:44">
      <c r="P178" s="99"/>
      <c r="Q178" s="99" t="s">
        <v>4511</v>
      </c>
      <c r="R178" s="95">
        <v>2000000</v>
      </c>
      <c r="T178" s="168" t="s">
        <v>4675</v>
      </c>
      <c r="U178" s="168">
        <v>27363</v>
      </c>
      <c r="V178" s="113">
        <v>239.3886</v>
      </c>
      <c r="W178" s="113">
        <f t="shared" si="40"/>
        <v>6550390.2617999995</v>
      </c>
      <c r="X178" s="99" t="s">
        <v>452</v>
      </c>
    </row>
    <row r="179" spans="16:44">
      <c r="P179" s="99"/>
      <c r="Q179" s="99" t="s">
        <v>994</v>
      </c>
      <c r="R179" s="95">
        <v>3000000</v>
      </c>
      <c r="T179" s="211" t="s">
        <v>4678</v>
      </c>
      <c r="U179" s="211">
        <v>27437</v>
      </c>
      <c r="V179" s="113">
        <v>242.4015</v>
      </c>
      <c r="W179" s="113">
        <f t="shared" si="40"/>
        <v>6650769.9555000002</v>
      </c>
      <c r="X179" s="99" t="s">
        <v>751</v>
      </c>
      <c r="Y179" t="s">
        <v>25</v>
      </c>
    </row>
    <row r="180" spans="16:44">
      <c r="P180" s="99"/>
      <c r="Q180" s="99" t="s">
        <v>4665</v>
      </c>
      <c r="R180" s="95">
        <v>3000000</v>
      </c>
      <c r="T180" s="211" t="s">
        <v>4678</v>
      </c>
      <c r="U180" s="211">
        <v>29104</v>
      </c>
      <c r="V180" s="113">
        <v>242.4015</v>
      </c>
      <c r="W180" s="113">
        <f t="shared" si="40"/>
        <v>7054853.2560000001</v>
      </c>
      <c r="X180" s="99" t="s">
        <v>452</v>
      </c>
    </row>
    <row r="181" spans="16:44">
      <c r="P181" s="99" t="s">
        <v>4870</v>
      </c>
      <c r="Q181" s="99" t="s">
        <v>4865</v>
      </c>
      <c r="R181" s="95">
        <v>-800000</v>
      </c>
      <c r="T181" s="214" t="s">
        <v>4703</v>
      </c>
      <c r="U181" s="214">
        <v>8991</v>
      </c>
      <c r="V181" s="113">
        <v>238.64867000000001</v>
      </c>
      <c r="W181" s="113">
        <f t="shared" si="40"/>
        <v>2145690.19197</v>
      </c>
      <c r="X181" s="99" t="s">
        <v>751</v>
      </c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P182" s="99" t="s">
        <v>4871</v>
      </c>
      <c r="Q182" s="99" t="s">
        <v>4865</v>
      </c>
      <c r="R182" s="95">
        <v>-900000</v>
      </c>
      <c r="T182" s="214" t="s">
        <v>4703</v>
      </c>
      <c r="U182" s="214">
        <v>8991</v>
      </c>
      <c r="V182" s="113">
        <v>238.64867000000001</v>
      </c>
      <c r="W182" s="113">
        <f t="shared" si="40"/>
        <v>2145690.19197</v>
      </c>
      <c r="X182" s="99" t="s">
        <v>452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314</v>
      </c>
      <c r="AM182" s="99">
        <f>AJ182*AL182</f>
        <v>1116527480</v>
      </c>
      <c r="AN182" s="99" t="s">
        <v>4313</v>
      </c>
    </row>
    <row r="183" spans="16:44">
      <c r="P183" s="99" t="s">
        <v>4871</v>
      </c>
      <c r="Q183" s="99" t="s">
        <v>981</v>
      </c>
      <c r="R183" s="95">
        <v>-1100000</v>
      </c>
      <c r="T183" s="214" t="s">
        <v>4715</v>
      </c>
      <c r="U183" s="214">
        <v>18170</v>
      </c>
      <c r="V183" s="113">
        <v>240.48475999999999</v>
      </c>
      <c r="W183" s="113">
        <f t="shared" si="40"/>
        <v>4369608.0892000003</v>
      </c>
      <c r="X183" s="99" t="s">
        <v>751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1">AK183+AL184</f>
        <v>312</v>
      </c>
      <c r="AM183" s="99">
        <f t="shared" ref="AM183:AM211" si="42">AJ183*AL183</f>
        <v>536901144</v>
      </c>
      <c r="AN183" s="99" t="s">
        <v>4314</v>
      </c>
    </row>
    <row r="184" spans="16:44">
      <c r="P184" s="196" t="s">
        <v>1087</v>
      </c>
      <c r="Q184" s="196" t="s">
        <v>4896</v>
      </c>
      <c r="R184" s="243">
        <v>30000000</v>
      </c>
      <c r="S184" t="s">
        <v>25</v>
      </c>
      <c r="T184" s="214" t="s">
        <v>4715</v>
      </c>
      <c r="U184" s="214">
        <v>18170</v>
      </c>
      <c r="V184" s="113">
        <v>240.48475999999999</v>
      </c>
      <c r="W184" s="113">
        <f t="shared" si="40"/>
        <v>4369608.0892000003</v>
      </c>
      <c r="X184" s="99" t="s">
        <v>452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1"/>
        <v>261</v>
      </c>
      <c r="AM184" s="99">
        <f t="shared" si="42"/>
        <v>39150000</v>
      </c>
      <c r="AN184" s="99"/>
      <c r="AR184" t="s">
        <v>25</v>
      </c>
    </row>
    <row r="185" spans="16:44">
      <c r="P185" s="20" t="s">
        <v>4993</v>
      </c>
      <c r="Q185" s="20" t="s">
        <v>4991</v>
      </c>
      <c r="R185" s="248">
        <v>2000000</v>
      </c>
      <c r="T185" s="214" t="s">
        <v>4718</v>
      </c>
      <c r="U185" s="214">
        <v>36797</v>
      </c>
      <c r="V185" s="113">
        <v>239.0822</v>
      </c>
      <c r="W185" s="113">
        <f t="shared" si="40"/>
        <v>8797507.7134000007</v>
      </c>
      <c r="X185" s="99" t="s">
        <v>751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1"/>
        <v>258</v>
      </c>
      <c r="AM185" s="99">
        <f t="shared" si="42"/>
        <v>-24510000</v>
      </c>
      <c r="AN185" s="99"/>
    </row>
    <row r="186" spans="16:44">
      <c r="P186" s="149" t="s">
        <v>5026</v>
      </c>
      <c r="Q186" s="149" t="s">
        <v>5025</v>
      </c>
      <c r="R186" s="150">
        <v>480105</v>
      </c>
      <c r="T186" s="214" t="s">
        <v>4718</v>
      </c>
      <c r="U186" s="214">
        <v>36797</v>
      </c>
      <c r="V186" s="113">
        <v>239.0822</v>
      </c>
      <c r="W186" s="113">
        <f t="shared" si="40"/>
        <v>8797507.7134000007</v>
      </c>
      <c r="X186" s="99" t="s">
        <v>452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1"/>
        <v>250</v>
      </c>
      <c r="AM186" s="99">
        <f t="shared" si="42"/>
        <v>787500000</v>
      </c>
      <c r="AN186" s="99"/>
    </row>
    <row r="187" spans="16:44">
      <c r="P187" s="99"/>
      <c r="Q187" s="99"/>
      <c r="R187" s="95"/>
      <c r="T187" s="214" t="s">
        <v>4727</v>
      </c>
      <c r="U187" s="214">
        <v>28066</v>
      </c>
      <c r="V187" s="113">
        <v>237.56970000000001</v>
      </c>
      <c r="W187" s="113">
        <f t="shared" si="40"/>
        <v>6667631.2002000008</v>
      </c>
      <c r="X187" s="99" t="s">
        <v>751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1"/>
        <v>234</v>
      </c>
      <c r="AM187" s="99">
        <f t="shared" si="42"/>
        <v>-15210000</v>
      </c>
      <c r="AN187" s="99"/>
    </row>
    <row r="188" spans="16:44">
      <c r="P188" s="99"/>
      <c r="Q188" s="99"/>
      <c r="R188" s="95">
        <f>SUM(R175:R186)</f>
        <v>43680105</v>
      </c>
      <c r="T188" s="214" t="s">
        <v>4727</v>
      </c>
      <c r="U188" s="214">
        <v>28066</v>
      </c>
      <c r="V188" s="113">
        <v>237.56970000000001</v>
      </c>
      <c r="W188" s="113">
        <f t="shared" si="40"/>
        <v>6667631.2002000008</v>
      </c>
      <c r="X188" s="99" t="s">
        <v>452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1"/>
        <v>233</v>
      </c>
      <c r="AM188" s="99">
        <f t="shared" si="42"/>
        <v>-22135000</v>
      </c>
      <c r="AN188" s="99"/>
    </row>
    <row r="189" spans="16:44">
      <c r="P189" s="99"/>
      <c r="Q189" s="99"/>
      <c r="R189" s="99" t="s">
        <v>6</v>
      </c>
      <c r="T189" s="214" t="s">
        <v>3684</v>
      </c>
      <c r="U189" s="214">
        <v>37457</v>
      </c>
      <c r="V189" s="113">
        <v>239.77</v>
      </c>
      <c r="W189" s="113">
        <f t="shared" si="40"/>
        <v>8981064.8900000006</v>
      </c>
      <c r="X189" s="99" t="s">
        <v>751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1"/>
        <v>227</v>
      </c>
      <c r="AM189" s="99">
        <f t="shared" si="42"/>
        <v>52664000</v>
      </c>
      <c r="AN189" s="99"/>
    </row>
    <row r="190" spans="16:44">
      <c r="T190" s="214" t="s">
        <v>3684</v>
      </c>
      <c r="U190" s="214">
        <v>37457</v>
      </c>
      <c r="V190" s="113">
        <v>239.77</v>
      </c>
      <c r="W190" s="113">
        <f t="shared" si="40"/>
        <v>8981064.8900000006</v>
      </c>
      <c r="X190" s="99" t="s">
        <v>452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1"/>
        <v>220</v>
      </c>
      <c r="AM190" s="99">
        <f t="shared" si="42"/>
        <v>2860000000</v>
      </c>
      <c r="AN190" s="99"/>
    </row>
    <row r="191" spans="16:44">
      <c r="Q191" s="96"/>
      <c r="R191" s="96" t="s">
        <v>25</v>
      </c>
      <c r="T191" s="214" t="s">
        <v>4740</v>
      </c>
      <c r="U191" s="214">
        <v>38412</v>
      </c>
      <c r="V191" s="113">
        <v>239.03</v>
      </c>
      <c r="W191" s="113">
        <f t="shared" si="40"/>
        <v>9181620.3599999994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1"/>
        <v>218</v>
      </c>
      <c r="AM191" s="99">
        <f t="shared" si="42"/>
        <v>2180000000</v>
      </c>
      <c r="AN191" s="99"/>
    </row>
    <row r="192" spans="16:44">
      <c r="Q192" s="96"/>
      <c r="R192" s="96"/>
      <c r="T192" s="214" t="s">
        <v>4740</v>
      </c>
      <c r="U192" s="214">
        <v>38412</v>
      </c>
      <c r="V192" s="113">
        <v>239.03</v>
      </c>
      <c r="W192" s="113">
        <f t="shared" si="40"/>
        <v>9181620.3599999994</v>
      </c>
      <c r="X192" s="99" t="s">
        <v>452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1"/>
        <v>215</v>
      </c>
      <c r="AM192" s="99">
        <f t="shared" si="42"/>
        <v>731000000</v>
      </c>
      <c r="AN192" s="99"/>
    </row>
    <row r="193" spans="15:44">
      <c r="T193" s="214" t="s">
        <v>4744</v>
      </c>
      <c r="U193" s="214">
        <v>49555</v>
      </c>
      <c r="V193" s="113">
        <v>238.345</v>
      </c>
      <c r="W193" s="113">
        <f t="shared" si="40"/>
        <v>11811186.475</v>
      </c>
      <c r="X193" s="99" t="s">
        <v>751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206</v>
      </c>
      <c r="AM193" s="99">
        <f t="shared" si="42"/>
        <v>-1799721884</v>
      </c>
      <c r="AN193" s="99"/>
    </row>
    <row r="194" spans="15:44">
      <c r="Q194" s="99" t="s">
        <v>751</v>
      </c>
      <c r="R194" s="99"/>
      <c r="T194" s="214" t="s">
        <v>4744</v>
      </c>
      <c r="U194" s="214">
        <v>49555</v>
      </c>
      <c r="V194" s="113">
        <v>238.345</v>
      </c>
      <c r="W194" s="113">
        <f t="shared" si="40"/>
        <v>11811186.475</v>
      </c>
      <c r="X194" s="99" t="s">
        <v>452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3">AK194+AL195</f>
        <v>205</v>
      </c>
      <c r="AM194" s="99">
        <f t="shared" si="42"/>
        <v>113775000</v>
      </c>
      <c r="AN194" s="99"/>
    </row>
    <row r="195" spans="15:44">
      <c r="Q195" s="99" t="s">
        <v>4443</v>
      </c>
      <c r="R195" s="95">
        <v>172908000</v>
      </c>
      <c r="T195" s="214" t="s">
        <v>4758</v>
      </c>
      <c r="U195" s="214">
        <v>160187</v>
      </c>
      <c r="V195" s="113">
        <v>257.49799999999999</v>
      </c>
      <c r="W195" s="113">
        <f t="shared" si="40"/>
        <v>41247832.126000002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3"/>
        <v>200</v>
      </c>
      <c r="AM195" s="99">
        <f t="shared" si="42"/>
        <v>-89661600</v>
      </c>
      <c r="AN195" s="99"/>
    </row>
    <row r="196" spans="15:44">
      <c r="Q196" s="99" t="s">
        <v>4484</v>
      </c>
      <c r="R196" s="95">
        <v>1400000</v>
      </c>
      <c r="T196" s="214" t="s">
        <v>4758</v>
      </c>
      <c r="U196" s="214">
        <v>160187</v>
      </c>
      <c r="V196" s="113">
        <v>257.49799999999999</v>
      </c>
      <c r="W196" s="113">
        <f t="shared" si="40"/>
        <v>41247832.126000002</v>
      </c>
      <c r="X196" s="99" t="s">
        <v>452</v>
      </c>
      <c r="AH196" s="99">
        <v>15</v>
      </c>
      <c r="AI196" s="99" t="s">
        <v>4403</v>
      </c>
      <c r="AJ196" s="117">
        <v>33225</v>
      </c>
      <c r="AK196" s="99">
        <v>0</v>
      </c>
      <c r="AL196" s="99">
        <f t="shared" si="43"/>
        <v>194</v>
      </c>
      <c r="AM196" s="99">
        <f t="shared" si="42"/>
        <v>6445650</v>
      </c>
      <c r="AN196" s="99"/>
    </row>
    <row r="197" spans="15:44">
      <c r="Q197" s="99" t="s">
        <v>4232</v>
      </c>
      <c r="R197" s="95">
        <v>247393</v>
      </c>
      <c r="S197" t="s">
        <v>25</v>
      </c>
      <c r="T197" s="214" t="s">
        <v>4766</v>
      </c>
      <c r="U197" s="214">
        <v>144401</v>
      </c>
      <c r="V197" s="113">
        <v>258.5061</v>
      </c>
      <c r="W197" s="113">
        <f t="shared" si="40"/>
        <v>37328539.346100003</v>
      </c>
      <c r="X197" s="99" t="s">
        <v>751</v>
      </c>
      <c r="Y197" t="s">
        <v>25</v>
      </c>
      <c r="AH197" s="149">
        <v>16</v>
      </c>
      <c r="AI197" s="149" t="s">
        <v>4403</v>
      </c>
      <c r="AJ197" s="189">
        <v>4098523</v>
      </c>
      <c r="AK197" s="149">
        <v>2</v>
      </c>
      <c r="AL197" s="149">
        <f t="shared" si="43"/>
        <v>194</v>
      </c>
      <c r="AM197" s="149">
        <f t="shared" si="42"/>
        <v>795113462</v>
      </c>
      <c r="AN197" s="149" t="s">
        <v>657</v>
      </c>
    </row>
    <row r="198" spans="15:44">
      <c r="Q198" s="99" t="s">
        <v>4231</v>
      </c>
      <c r="R198" s="95">
        <v>6780000</v>
      </c>
      <c r="T198" s="214" t="s">
        <v>4766</v>
      </c>
      <c r="U198" s="214">
        <v>144401</v>
      </c>
      <c r="V198" s="113">
        <v>258.5061</v>
      </c>
      <c r="W198" s="113">
        <f t="shared" si="40"/>
        <v>37328539.346100003</v>
      </c>
      <c r="X198" s="99" t="s">
        <v>452</v>
      </c>
      <c r="AH198" s="149">
        <v>17</v>
      </c>
      <c r="AI198" s="149" t="s">
        <v>4416</v>
      </c>
      <c r="AJ198" s="189">
        <v>-1000000</v>
      </c>
      <c r="AK198" s="149">
        <v>7</v>
      </c>
      <c r="AL198" s="149">
        <f t="shared" si="43"/>
        <v>192</v>
      </c>
      <c r="AM198" s="149">
        <f t="shared" si="42"/>
        <v>-192000000</v>
      </c>
      <c r="AN198" s="149" t="s">
        <v>657</v>
      </c>
    </row>
    <row r="199" spans="15:44">
      <c r="Q199" s="99" t="s">
        <v>4594</v>
      </c>
      <c r="R199" s="95">
        <v>-4000000</v>
      </c>
      <c r="T199" s="168" t="s">
        <v>4774</v>
      </c>
      <c r="U199" s="168">
        <v>196500</v>
      </c>
      <c r="V199" s="113">
        <v>254.452</v>
      </c>
      <c r="W199" s="113">
        <f t="shared" si="40"/>
        <v>49999818</v>
      </c>
      <c r="X199" s="99" t="s">
        <v>4779</v>
      </c>
      <c r="AH199" s="149">
        <v>18</v>
      </c>
      <c r="AI199" s="149" t="s">
        <v>4439</v>
      </c>
      <c r="AJ199" s="189">
        <v>750000</v>
      </c>
      <c r="AK199" s="149">
        <v>1</v>
      </c>
      <c r="AL199" s="149">
        <f t="shared" si="43"/>
        <v>185</v>
      </c>
      <c r="AM199" s="149">
        <f t="shared" si="42"/>
        <v>138750000</v>
      </c>
      <c r="AN199" s="149" t="s">
        <v>657</v>
      </c>
    </row>
    <row r="200" spans="15:44">
      <c r="O200" t="s">
        <v>25</v>
      </c>
      <c r="Q200" s="99" t="s">
        <v>4626</v>
      </c>
      <c r="R200" s="95">
        <v>16727037</v>
      </c>
      <c r="T200" s="214" t="s">
        <v>4774</v>
      </c>
      <c r="U200" s="214">
        <v>2561</v>
      </c>
      <c r="V200" s="113">
        <v>254.536</v>
      </c>
      <c r="W200" s="113">
        <f t="shared" si="40"/>
        <v>651866.696</v>
      </c>
      <c r="X200" s="99" t="s">
        <v>4780</v>
      </c>
      <c r="AH200" s="196">
        <v>19</v>
      </c>
      <c r="AI200" s="196" t="s">
        <v>4441</v>
      </c>
      <c r="AJ200" s="197">
        <v>-604152</v>
      </c>
      <c r="AK200" s="196">
        <v>0</v>
      </c>
      <c r="AL200" s="196">
        <f t="shared" si="43"/>
        <v>184</v>
      </c>
      <c r="AM200" s="196">
        <f t="shared" si="42"/>
        <v>-111163968</v>
      </c>
      <c r="AN200" s="196" t="s">
        <v>657</v>
      </c>
    </row>
    <row r="201" spans="15:44">
      <c r="Q201" s="99" t="s">
        <v>4631</v>
      </c>
      <c r="R201" s="95">
        <v>46460683</v>
      </c>
      <c r="S201" t="s">
        <v>25</v>
      </c>
      <c r="T201" s="214" t="s">
        <v>4829</v>
      </c>
      <c r="U201" s="214">
        <v>-11795</v>
      </c>
      <c r="V201" s="113">
        <v>254.334</v>
      </c>
      <c r="W201" s="113">
        <f t="shared" si="40"/>
        <v>-2999869.5300000003</v>
      </c>
      <c r="X201" s="99" t="s">
        <v>4830</v>
      </c>
      <c r="AH201" s="99">
        <v>20</v>
      </c>
      <c r="AI201" s="99" t="s">
        <v>4442</v>
      </c>
      <c r="AJ201" s="117">
        <v>-587083</v>
      </c>
      <c r="AK201" s="99">
        <v>4</v>
      </c>
      <c r="AL201" s="99">
        <f t="shared" si="43"/>
        <v>184</v>
      </c>
      <c r="AM201" s="99">
        <f t="shared" si="42"/>
        <v>-108023272</v>
      </c>
      <c r="AN201" s="99"/>
      <c r="AQ201" t="s">
        <v>25</v>
      </c>
    </row>
    <row r="202" spans="15:44">
      <c r="Q202" s="99" t="s">
        <v>4633</v>
      </c>
      <c r="R202" s="95">
        <v>19663646</v>
      </c>
      <c r="T202" s="214" t="s">
        <v>4829</v>
      </c>
      <c r="U202" s="214">
        <v>11795</v>
      </c>
      <c r="V202" s="113">
        <v>254.334</v>
      </c>
      <c r="W202" s="113">
        <f t="shared" si="40"/>
        <v>2999869.5300000003</v>
      </c>
      <c r="X202" s="99" t="s">
        <v>4831</v>
      </c>
      <c r="AH202" s="196">
        <v>21</v>
      </c>
      <c r="AI202" s="196" t="s">
        <v>4443</v>
      </c>
      <c r="AJ202" s="197">
        <v>-754351</v>
      </c>
      <c r="AK202" s="196">
        <v>0</v>
      </c>
      <c r="AL202" s="149">
        <f t="shared" si="43"/>
        <v>180</v>
      </c>
      <c r="AM202" s="196">
        <f t="shared" si="42"/>
        <v>-135783180</v>
      </c>
      <c r="AN202" s="196" t="s">
        <v>657</v>
      </c>
    </row>
    <row r="203" spans="15:44">
      <c r="Q203" s="99" t="s">
        <v>4660</v>
      </c>
      <c r="R203" s="95">
        <v>4374525</v>
      </c>
      <c r="T203" s="214" t="s">
        <v>4846</v>
      </c>
      <c r="U203" s="214">
        <v>260</v>
      </c>
      <c r="V203" s="113">
        <v>263.19</v>
      </c>
      <c r="W203" s="113">
        <f t="shared" si="40"/>
        <v>68429.399999999994</v>
      </c>
      <c r="X203" s="99" t="s">
        <v>452</v>
      </c>
      <c r="AH203" s="99">
        <v>22</v>
      </c>
      <c r="AI203" s="99" t="s">
        <v>4443</v>
      </c>
      <c r="AJ203" s="117">
        <v>-189619</v>
      </c>
      <c r="AK203" s="99">
        <v>15</v>
      </c>
      <c r="AL203" s="99">
        <f t="shared" si="43"/>
        <v>180</v>
      </c>
      <c r="AM203" s="99">
        <f t="shared" si="42"/>
        <v>-34131420</v>
      </c>
      <c r="AN203" s="99"/>
    </row>
    <row r="204" spans="15:44">
      <c r="Q204" s="99" t="s">
        <v>4675</v>
      </c>
      <c r="R204" s="95">
        <v>6550580</v>
      </c>
      <c r="T204" s="214" t="s">
        <v>4860</v>
      </c>
      <c r="U204" s="214">
        <v>15257</v>
      </c>
      <c r="V204" s="113">
        <v>262.19018</v>
      </c>
      <c r="W204" s="113">
        <f t="shared" si="40"/>
        <v>4000235.57626</v>
      </c>
      <c r="X204" s="99" t="s">
        <v>452</v>
      </c>
      <c r="AH204" s="196">
        <v>23</v>
      </c>
      <c r="AI204" s="196" t="s">
        <v>4515</v>
      </c>
      <c r="AJ204" s="189">
        <v>7100</v>
      </c>
      <c r="AK204" s="196">
        <v>0</v>
      </c>
      <c r="AL204" s="149">
        <f t="shared" si="43"/>
        <v>165</v>
      </c>
      <c r="AM204" s="196">
        <f t="shared" si="42"/>
        <v>1171500</v>
      </c>
      <c r="AN204" s="196" t="s">
        <v>657</v>
      </c>
      <c r="AR204" t="s">
        <v>25</v>
      </c>
    </row>
    <row r="205" spans="15:44">
      <c r="Q205" s="99" t="s">
        <v>4678</v>
      </c>
      <c r="R205" s="95">
        <v>6650895</v>
      </c>
      <c r="T205" s="214" t="s">
        <v>4860</v>
      </c>
      <c r="U205" s="214">
        <v>8444</v>
      </c>
      <c r="V205" s="113">
        <v>266.43029999999999</v>
      </c>
      <c r="W205" s="113">
        <f t="shared" si="40"/>
        <v>2249737.4531999999</v>
      </c>
      <c r="X205" s="99" t="s">
        <v>452</v>
      </c>
      <c r="AH205" s="20">
        <v>24</v>
      </c>
      <c r="AI205" s="20" t="s">
        <v>4515</v>
      </c>
      <c r="AJ205" s="117">
        <v>-147902</v>
      </c>
      <c r="AK205" s="20">
        <v>3</v>
      </c>
      <c r="AL205" s="99">
        <f t="shared" si="43"/>
        <v>165</v>
      </c>
      <c r="AM205" s="20">
        <f t="shared" si="42"/>
        <v>-24403830</v>
      </c>
      <c r="AN205" s="20"/>
    </row>
    <row r="206" spans="15:44">
      <c r="Q206" s="99" t="s">
        <v>4703</v>
      </c>
      <c r="R206" s="95">
        <v>2145814</v>
      </c>
      <c r="T206" s="214" t="s">
        <v>4865</v>
      </c>
      <c r="U206" s="214">
        <v>-6209</v>
      </c>
      <c r="V206" s="113">
        <v>273.79649999999998</v>
      </c>
      <c r="W206" s="113">
        <f t="shared" si="40"/>
        <v>-1700002.4685</v>
      </c>
      <c r="X206" s="99" t="s">
        <v>4876</v>
      </c>
      <c r="AH206" s="149">
        <v>25</v>
      </c>
      <c r="AI206" s="149" t="s">
        <v>4523</v>
      </c>
      <c r="AJ206" s="189">
        <v>-37200</v>
      </c>
      <c r="AK206" s="149">
        <v>4</v>
      </c>
      <c r="AL206" s="149">
        <f t="shared" si="43"/>
        <v>162</v>
      </c>
      <c r="AM206" s="196">
        <f t="shared" si="42"/>
        <v>-6026400</v>
      </c>
      <c r="AN206" s="149" t="s">
        <v>657</v>
      </c>
    </row>
    <row r="207" spans="15:44">
      <c r="Q207" s="99" t="s">
        <v>4715</v>
      </c>
      <c r="R207" s="95">
        <v>4369730</v>
      </c>
      <c r="T207" s="214" t="s">
        <v>4865</v>
      </c>
      <c r="U207" s="214">
        <v>-8014</v>
      </c>
      <c r="V207" s="113">
        <v>273.79649999999998</v>
      </c>
      <c r="W207" s="113">
        <f t="shared" si="40"/>
        <v>-2194205.1510000001</v>
      </c>
      <c r="X207" s="99" t="s">
        <v>751</v>
      </c>
      <c r="AH207" s="99">
        <v>26</v>
      </c>
      <c r="AI207" s="99" t="s">
        <v>4554</v>
      </c>
      <c r="AJ207" s="117">
        <v>-372326</v>
      </c>
      <c r="AK207" s="99">
        <v>21</v>
      </c>
      <c r="AL207" s="99">
        <f t="shared" si="43"/>
        <v>158</v>
      </c>
      <c r="AM207" s="20">
        <f t="shared" si="42"/>
        <v>-58827508</v>
      </c>
      <c r="AN207" s="99"/>
      <c r="AR207" t="s">
        <v>25</v>
      </c>
    </row>
    <row r="208" spans="15:44">
      <c r="Q208" s="99" t="s">
        <v>4718</v>
      </c>
      <c r="R208" s="95">
        <v>8739459</v>
      </c>
      <c r="S208" t="s">
        <v>25</v>
      </c>
      <c r="T208" s="214" t="s">
        <v>4874</v>
      </c>
      <c r="U208" s="214">
        <v>-9176</v>
      </c>
      <c r="V208" s="113">
        <v>273.79649999999998</v>
      </c>
      <c r="W208" s="113">
        <f t="shared" si="40"/>
        <v>-2512356.6839999999</v>
      </c>
      <c r="X208" s="99" t="s">
        <v>452</v>
      </c>
      <c r="AH208" s="99">
        <v>27</v>
      </c>
      <c r="AI208" s="99" t="s">
        <v>4608</v>
      </c>
      <c r="AJ208" s="117">
        <v>235062</v>
      </c>
      <c r="AK208" s="99">
        <v>0</v>
      </c>
      <c r="AL208" s="99">
        <f t="shared" si="43"/>
        <v>137</v>
      </c>
      <c r="AM208" s="20">
        <f t="shared" si="42"/>
        <v>32203494</v>
      </c>
      <c r="AN208" s="99"/>
    </row>
    <row r="209" spans="17:45">
      <c r="Q209" s="99" t="s">
        <v>4727</v>
      </c>
      <c r="R209" s="95">
        <v>6667654</v>
      </c>
      <c r="T209" s="214" t="s">
        <v>4874</v>
      </c>
      <c r="U209" s="214">
        <v>1087</v>
      </c>
      <c r="V209" s="113">
        <v>273.79649999999998</v>
      </c>
      <c r="W209" s="113">
        <f t="shared" si="40"/>
        <v>297616.79550000001</v>
      </c>
      <c r="X209" s="99" t="s">
        <v>452</v>
      </c>
      <c r="AH209" s="149">
        <v>28</v>
      </c>
      <c r="AI209" s="149" t="s">
        <v>4608</v>
      </c>
      <c r="AJ209" s="189">
        <v>235062</v>
      </c>
      <c r="AK209" s="149">
        <v>9</v>
      </c>
      <c r="AL209" s="99">
        <f t="shared" si="43"/>
        <v>137</v>
      </c>
      <c r="AM209" s="149">
        <f t="shared" si="42"/>
        <v>32203494</v>
      </c>
      <c r="AN209" s="149" t="s">
        <v>657</v>
      </c>
      <c r="AP209" t="s">
        <v>25</v>
      </c>
    </row>
    <row r="210" spans="17:45">
      <c r="Q210" s="99" t="s">
        <v>4735</v>
      </c>
      <c r="R210" s="95">
        <v>8981245</v>
      </c>
      <c r="T210" s="214" t="s">
        <v>981</v>
      </c>
      <c r="U210" s="214">
        <v>-4017</v>
      </c>
      <c r="V210" s="113">
        <v>273.79649999999998</v>
      </c>
      <c r="W210" s="113">
        <f t="shared" si="40"/>
        <v>-1099840.5404999999</v>
      </c>
      <c r="X210" s="99" t="s">
        <v>4450</v>
      </c>
      <c r="Z210" t="s">
        <v>25</v>
      </c>
      <c r="AH210" s="149">
        <v>29</v>
      </c>
      <c r="AI210" s="149" t="s">
        <v>4633</v>
      </c>
      <c r="AJ210" s="189">
        <v>450000</v>
      </c>
      <c r="AK210" s="149">
        <v>0</v>
      </c>
      <c r="AL210" s="99">
        <f t="shared" si="43"/>
        <v>128</v>
      </c>
      <c r="AM210" s="149">
        <f t="shared" si="42"/>
        <v>57600000</v>
      </c>
      <c r="AN210" s="149" t="s">
        <v>657</v>
      </c>
    </row>
    <row r="211" spans="17:45">
      <c r="Q211" s="99" t="s">
        <v>4740</v>
      </c>
      <c r="R211" s="95">
        <v>9181756</v>
      </c>
      <c r="T211" s="214" t="s">
        <v>981</v>
      </c>
      <c r="U211" s="214">
        <v>4017</v>
      </c>
      <c r="V211" s="113">
        <v>273.79649999999998</v>
      </c>
      <c r="W211" s="113">
        <f t="shared" si="40"/>
        <v>1099840.5404999999</v>
      </c>
      <c r="X211" s="99" t="s">
        <v>452</v>
      </c>
      <c r="AH211" s="20">
        <v>30</v>
      </c>
      <c r="AI211" s="20" t="s">
        <v>4633</v>
      </c>
      <c r="AJ211" s="117">
        <v>450000</v>
      </c>
      <c r="AK211" s="20">
        <v>22</v>
      </c>
      <c r="AL211" s="99">
        <f>AK211+AL212</f>
        <v>128</v>
      </c>
      <c r="AM211" s="20">
        <f t="shared" si="42"/>
        <v>57600000</v>
      </c>
      <c r="AN211" s="20"/>
    </row>
    <row r="212" spans="17:45">
      <c r="Q212" s="99" t="s">
        <v>4744</v>
      </c>
      <c r="R212" s="95">
        <v>11811208</v>
      </c>
      <c r="S212" t="s">
        <v>25</v>
      </c>
      <c r="T212" s="214" t="s">
        <v>4883</v>
      </c>
      <c r="U212" s="214">
        <v>3137</v>
      </c>
      <c r="V212" s="113">
        <v>283.69110000000001</v>
      </c>
      <c r="W212" s="113">
        <f t="shared" si="40"/>
        <v>889938.98070000007</v>
      </c>
      <c r="X212" s="99" t="s">
        <v>452</v>
      </c>
      <c r="AH212" s="149">
        <v>31</v>
      </c>
      <c r="AI212" s="149" t="s">
        <v>4718</v>
      </c>
      <c r="AJ212" s="189">
        <v>300000</v>
      </c>
      <c r="AK212" s="149">
        <v>0</v>
      </c>
      <c r="AL212" s="149">
        <f t="shared" ref="AL212:AL227" si="44">AK212+AL213</f>
        <v>106</v>
      </c>
      <c r="AM212" s="149">
        <f t="shared" ref="AM212:AM215" si="45">AJ212*AL212</f>
        <v>31800000</v>
      </c>
      <c r="AN212" s="149"/>
    </row>
    <row r="213" spans="17:45" ht="30">
      <c r="Q213" s="99" t="s">
        <v>4758</v>
      </c>
      <c r="R213" s="95">
        <v>41248054</v>
      </c>
      <c r="S213" t="s">
        <v>25</v>
      </c>
      <c r="T213" s="214" t="s">
        <v>4896</v>
      </c>
      <c r="U213" s="214">
        <v>101933</v>
      </c>
      <c r="V213" s="113">
        <v>294.30973999999998</v>
      </c>
      <c r="W213" s="113">
        <f t="shared" si="40"/>
        <v>29999874.727419998</v>
      </c>
      <c r="X213" s="99" t="s">
        <v>1087</v>
      </c>
      <c r="AH213" s="121">
        <v>32</v>
      </c>
      <c r="AI213" s="121" t="s">
        <v>4718</v>
      </c>
      <c r="AJ213" s="79">
        <v>288936</v>
      </c>
      <c r="AK213" s="121">
        <v>3</v>
      </c>
      <c r="AL213" s="121">
        <f t="shared" si="44"/>
        <v>106</v>
      </c>
      <c r="AM213" s="121">
        <f t="shared" si="45"/>
        <v>30627216</v>
      </c>
      <c r="AN213" s="206" t="s">
        <v>4729</v>
      </c>
      <c r="AR213" t="s">
        <v>25</v>
      </c>
    </row>
    <row r="214" spans="17:45">
      <c r="Q214" s="99" t="s">
        <v>4766</v>
      </c>
      <c r="R214" s="95">
        <v>37328780</v>
      </c>
      <c r="T214" s="214" t="s">
        <v>4907</v>
      </c>
      <c r="U214" s="214">
        <v>3407</v>
      </c>
      <c r="V214" s="113">
        <v>293.43799999999999</v>
      </c>
      <c r="W214" s="113">
        <f t="shared" si="40"/>
        <v>999743.26599999995</v>
      </c>
      <c r="X214" s="99" t="s">
        <v>452</v>
      </c>
      <c r="AH214" s="121">
        <v>33</v>
      </c>
      <c r="AI214" s="121" t="s">
        <v>4727</v>
      </c>
      <c r="AJ214" s="79">
        <v>17962491</v>
      </c>
      <c r="AK214" s="121">
        <v>1</v>
      </c>
      <c r="AL214" s="121">
        <f t="shared" si="44"/>
        <v>103</v>
      </c>
      <c r="AM214" s="121">
        <f t="shared" si="45"/>
        <v>1850136573</v>
      </c>
      <c r="AN214" s="121" t="s">
        <v>4734</v>
      </c>
      <c r="AQ214" t="s">
        <v>25</v>
      </c>
    </row>
    <row r="215" spans="17:45">
      <c r="Q215" s="99" t="s">
        <v>4865</v>
      </c>
      <c r="R215" s="95">
        <v>-2194100</v>
      </c>
      <c r="T215" s="214" t="s">
        <v>4908</v>
      </c>
      <c r="U215" s="214">
        <v>68796</v>
      </c>
      <c r="V215" s="113">
        <v>293.53250000000003</v>
      </c>
      <c r="W215" s="113">
        <f t="shared" si="40"/>
        <v>20193861.870000001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4"/>
        <v>102</v>
      </c>
      <c r="AM215" s="121">
        <f t="shared" si="45"/>
        <v>1873078122</v>
      </c>
      <c r="AN215" s="121" t="s">
        <v>4734</v>
      </c>
    </row>
    <row r="216" spans="17:45">
      <c r="Q216" s="99" t="s">
        <v>4908</v>
      </c>
      <c r="R216" s="95">
        <v>20193916</v>
      </c>
      <c r="T216" s="214" t="s">
        <v>4908</v>
      </c>
      <c r="U216" s="214">
        <v>154791</v>
      </c>
      <c r="V216" s="113">
        <v>293.53250000000003</v>
      </c>
      <c r="W216" s="113">
        <f t="shared" si="40"/>
        <v>45436189.207500003</v>
      </c>
      <c r="X216" s="99" t="s">
        <v>452</v>
      </c>
      <c r="AH216" s="121">
        <v>35</v>
      </c>
      <c r="AI216" s="121" t="s">
        <v>4740</v>
      </c>
      <c r="AJ216" s="79">
        <v>23622417</v>
      </c>
      <c r="AK216" s="121">
        <v>5</v>
      </c>
      <c r="AL216" s="121">
        <f t="shared" si="44"/>
        <v>101</v>
      </c>
      <c r="AM216" s="121">
        <f t="shared" ref="AM216:AM219" si="46">AJ216*AL216</f>
        <v>2385864117</v>
      </c>
      <c r="AN216" s="121" t="s">
        <v>4743</v>
      </c>
    </row>
    <row r="217" spans="17:45">
      <c r="Q217" s="99" t="s">
        <v>4991</v>
      </c>
      <c r="R217" s="95">
        <v>-2000000</v>
      </c>
      <c r="T217" s="214" t="s">
        <v>4908</v>
      </c>
      <c r="U217" s="214">
        <v>-11923</v>
      </c>
      <c r="V217" s="113">
        <v>293.53250000000003</v>
      </c>
      <c r="W217" s="113">
        <f t="shared" si="40"/>
        <v>-3499787.9975000005</v>
      </c>
      <c r="X217" s="99" t="s">
        <v>452</v>
      </c>
      <c r="AH217" s="121">
        <v>36</v>
      </c>
      <c r="AI217" s="121" t="s">
        <v>4756</v>
      </c>
      <c r="AJ217" s="79">
        <v>82496108</v>
      </c>
      <c r="AK217" s="121">
        <v>1</v>
      </c>
      <c r="AL217" s="121">
        <f t="shared" si="44"/>
        <v>96</v>
      </c>
      <c r="AM217" s="121">
        <f t="shared" si="46"/>
        <v>7919626368</v>
      </c>
      <c r="AN217" s="121" t="s">
        <v>4759</v>
      </c>
    </row>
    <row r="218" spans="17:45">
      <c r="Q218" s="99"/>
      <c r="R218" s="95"/>
      <c r="T218" s="214" t="s">
        <v>4925</v>
      </c>
      <c r="U218" s="214">
        <v>8424</v>
      </c>
      <c r="V218" s="113">
        <v>299.15170000000001</v>
      </c>
      <c r="W218" s="113">
        <f t="shared" si="40"/>
        <v>2520053.9208</v>
      </c>
      <c r="X218" s="99" t="s">
        <v>452</v>
      </c>
      <c r="AH218" s="121">
        <v>37</v>
      </c>
      <c r="AI218" s="121" t="s">
        <v>4758</v>
      </c>
      <c r="AJ218" s="79">
        <v>74657561</v>
      </c>
      <c r="AK218" s="121">
        <v>16</v>
      </c>
      <c r="AL218" s="121">
        <f t="shared" si="44"/>
        <v>95</v>
      </c>
      <c r="AM218" s="121">
        <f t="shared" si="46"/>
        <v>7092468295</v>
      </c>
      <c r="AN218" s="121" t="s">
        <v>4765</v>
      </c>
      <c r="AS218" t="s">
        <v>25</v>
      </c>
    </row>
    <row r="219" spans="17:45">
      <c r="Q219" s="99"/>
      <c r="R219" s="95">
        <f>SUM(R195:R218)</f>
        <v>424236275</v>
      </c>
      <c r="T219" s="214" t="s">
        <v>4962</v>
      </c>
      <c r="U219" s="214">
        <v>15943</v>
      </c>
      <c r="V219" s="113">
        <v>307.34415000000001</v>
      </c>
      <c r="W219" s="113">
        <f t="shared" si="40"/>
        <v>4899987.78345</v>
      </c>
      <c r="X219" s="99" t="s">
        <v>452</v>
      </c>
      <c r="AH219" s="99">
        <v>38</v>
      </c>
      <c r="AI219" s="99" t="s">
        <v>4846</v>
      </c>
      <c r="AJ219" s="117">
        <v>665000</v>
      </c>
      <c r="AK219" s="99">
        <v>0</v>
      </c>
      <c r="AL219" s="99">
        <f t="shared" si="44"/>
        <v>79</v>
      </c>
      <c r="AM219" s="20">
        <f t="shared" si="46"/>
        <v>52535000</v>
      </c>
      <c r="AN219" s="99"/>
    </row>
    <row r="220" spans="17:45">
      <c r="Q220" s="99"/>
      <c r="R220" s="99" t="s">
        <v>6</v>
      </c>
      <c r="T220" s="214" t="s">
        <v>4985</v>
      </c>
      <c r="U220" s="214">
        <v>3741</v>
      </c>
      <c r="V220" s="113">
        <v>307.34415000000001</v>
      </c>
      <c r="W220" s="113">
        <f t="shared" si="40"/>
        <v>1149774.4651500001</v>
      </c>
      <c r="X220" s="99" t="s">
        <v>452</v>
      </c>
      <c r="AH220" s="149">
        <v>39</v>
      </c>
      <c r="AI220" s="149" t="s">
        <v>4846</v>
      </c>
      <c r="AJ220" s="189">
        <v>665000</v>
      </c>
      <c r="AK220" s="149">
        <v>4</v>
      </c>
      <c r="AL220" s="196">
        <f t="shared" si="44"/>
        <v>79</v>
      </c>
      <c r="AM220" s="196">
        <f t="shared" ref="AM220:AM221" si="47">AJ220*AL220</f>
        <v>52535000</v>
      </c>
      <c r="AN220" s="196"/>
    </row>
    <row r="221" spans="17:45">
      <c r="S221" t="s">
        <v>25</v>
      </c>
      <c r="T221" s="214" t="s">
        <v>4991</v>
      </c>
      <c r="U221" s="214">
        <v>-6207</v>
      </c>
      <c r="V221" s="113">
        <v>322.214</v>
      </c>
      <c r="W221" s="113">
        <f t="shared" si="40"/>
        <v>-1999982.298</v>
      </c>
      <c r="X221" s="99" t="s">
        <v>751</v>
      </c>
      <c r="AH221" s="20">
        <v>40</v>
      </c>
      <c r="AI221" s="20" t="s">
        <v>4860</v>
      </c>
      <c r="AJ221" s="117">
        <v>2000000</v>
      </c>
      <c r="AK221" s="20">
        <v>1</v>
      </c>
      <c r="AL221" s="99">
        <f t="shared" si="44"/>
        <v>75</v>
      </c>
      <c r="AM221" s="20">
        <f t="shared" si="47"/>
        <v>150000000</v>
      </c>
      <c r="AN221" s="99"/>
    </row>
    <row r="222" spans="17:45">
      <c r="T222" s="214" t="s">
        <v>4991</v>
      </c>
      <c r="U222" s="214">
        <v>6207</v>
      </c>
      <c r="V222" s="113">
        <v>322.214</v>
      </c>
      <c r="W222" s="113">
        <f t="shared" si="40"/>
        <v>1999982.298</v>
      </c>
      <c r="X222" s="99" t="s">
        <v>4450</v>
      </c>
      <c r="AH222" s="20">
        <v>41</v>
      </c>
      <c r="AI222" s="20" t="s">
        <v>4865</v>
      </c>
      <c r="AJ222" s="117">
        <v>-2060725</v>
      </c>
      <c r="AK222" s="20">
        <v>0</v>
      </c>
      <c r="AL222" s="99">
        <f t="shared" si="44"/>
        <v>74</v>
      </c>
      <c r="AM222" s="20">
        <f t="shared" ref="AM222:AM227" si="48">AJ222*AL222</f>
        <v>-152493650</v>
      </c>
      <c r="AN222" s="99" t="s">
        <v>4866</v>
      </c>
    </row>
    <row r="223" spans="17:45">
      <c r="Q223" s="99" t="s">
        <v>452</v>
      </c>
      <c r="R223" s="99"/>
      <c r="T223" s="214" t="s">
        <v>4934</v>
      </c>
      <c r="U223" s="214">
        <v>776</v>
      </c>
      <c r="V223" s="113">
        <v>322.214</v>
      </c>
      <c r="W223" s="113">
        <f t="shared" si="40"/>
        <v>250038.06400000001</v>
      </c>
      <c r="X223" s="99" t="s">
        <v>452</v>
      </c>
      <c r="AH223" s="149">
        <v>42</v>
      </c>
      <c r="AI223" s="149" t="s">
        <v>4865</v>
      </c>
      <c r="AJ223" s="189">
        <v>-433375</v>
      </c>
      <c r="AK223" s="149">
        <v>0</v>
      </c>
      <c r="AL223" s="149">
        <f t="shared" si="44"/>
        <v>74</v>
      </c>
      <c r="AM223" s="149">
        <f t="shared" si="48"/>
        <v>-32069750</v>
      </c>
      <c r="AN223" s="149" t="s">
        <v>4867</v>
      </c>
    </row>
    <row r="224" spans="17:45">
      <c r="Q224" s="99" t="s">
        <v>4443</v>
      </c>
      <c r="R224" s="95">
        <v>63115000</v>
      </c>
      <c r="T224" s="214" t="s">
        <v>5025</v>
      </c>
      <c r="U224" s="214">
        <v>1524</v>
      </c>
      <c r="V224" s="113">
        <v>314.95999999999998</v>
      </c>
      <c r="W224" s="113">
        <f t="shared" si="40"/>
        <v>479999.04</v>
      </c>
      <c r="X224" s="99" t="s">
        <v>1087</v>
      </c>
      <c r="Z224" t="s">
        <v>25</v>
      </c>
      <c r="AH224" s="20">
        <v>43</v>
      </c>
      <c r="AI224" s="20" t="s">
        <v>4865</v>
      </c>
      <c r="AJ224" s="117">
        <v>28000000</v>
      </c>
      <c r="AK224" s="20">
        <v>1</v>
      </c>
      <c r="AL224" s="99">
        <f t="shared" si="44"/>
        <v>74</v>
      </c>
      <c r="AM224" s="20">
        <f t="shared" si="48"/>
        <v>2072000000</v>
      </c>
      <c r="AN224" s="99" t="s">
        <v>3891</v>
      </c>
    </row>
    <row r="225" spans="17:44">
      <c r="Q225" s="99" t="s">
        <v>4497</v>
      </c>
      <c r="R225" s="95">
        <v>13300000</v>
      </c>
      <c r="T225" s="214" t="s">
        <v>5034</v>
      </c>
      <c r="U225" s="214">
        <v>4435</v>
      </c>
      <c r="V225" s="113">
        <v>316.4375</v>
      </c>
      <c r="W225" s="113">
        <f t="shared" si="40"/>
        <v>1403400.3125</v>
      </c>
      <c r="X225" s="99" t="s">
        <v>452</v>
      </c>
      <c r="AH225" s="20">
        <v>44</v>
      </c>
      <c r="AI225" s="20" t="s">
        <v>4874</v>
      </c>
      <c r="AJ225" s="117">
        <v>160000</v>
      </c>
      <c r="AK225" s="20">
        <v>0</v>
      </c>
      <c r="AL225" s="99">
        <f t="shared" si="44"/>
        <v>73</v>
      </c>
      <c r="AM225" s="20">
        <f t="shared" si="48"/>
        <v>11680000</v>
      </c>
      <c r="AN225" s="99"/>
    </row>
    <row r="226" spans="17:44">
      <c r="Q226" s="99" t="s">
        <v>4505</v>
      </c>
      <c r="R226" s="95">
        <v>2269000</v>
      </c>
      <c r="T226" s="214" t="s">
        <v>5042</v>
      </c>
      <c r="U226" s="214">
        <v>624</v>
      </c>
      <c r="V226" s="113">
        <v>320.5</v>
      </c>
      <c r="W226" s="113">
        <f t="shared" si="40"/>
        <v>199992</v>
      </c>
      <c r="X226" s="99" t="s">
        <v>452</v>
      </c>
      <c r="Y226" t="s">
        <v>25</v>
      </c>
      <c r="AH226" s="149">
        <v>45</v>
      </c>
      <c r="AI226" s="149" t="s">
        <v>4874</v>
      </c>
      <c r="AJ226" s="189">
        <v>70000</v>
      </c>
      <c r="AK226" s="149">
        <v>9</v>
      </c>
      <c r="AL226" s="149">
        <f t="shared" si="44"/>
        <v>73</v>
      </c>
      <c r="AM226" s="149">
        <f t="shared" si="48"/>
        <v>5110000</v>
      </c>
      <c r="AN226" s="149"/>
    </row>
    <row r="227" spans="17:44">
      <c r="Q227" s="99" t="s">
        <v>4622</v>
      </c>
      <c r="R227" s="95">
        <v>25071612</v>
      </c>
      <c r="T227" s="214" t="s">
        <v>5053</v>
      </c>
      <c r="U227" s="214">
        <v>1086</v>
      </c>
      <c r="V227" s="113">
        <v>317.55</v>
      </c>
      <c r="W227" s="113">
        <f t="shared" si="40"/>
        <v>344859.3</v>
      </c>
      <c r="X227" s="99" t="s">
        <v>452</v>
      </c>
      <c r="AH227" s="20">
        <v>46</v>
      </c>
      <c r="AI227" s="20" t="s">
        <v>4883</v>
      </c>
      <c r="AJ227" s="117">
        <v>850000</v>
      </c>
      <c r="AK227" s="20">
        <v>0</v>
      </c>
      <c r="AL227" s="99">
        <f t="shared" si="44"/>
        <v>64</v>
      </c>
      <c r="AM227" s="20">
        <f t="shared" si="48"/>
        <v>54400000</v>
      </c>
      <c r="AN227" s="99"/>
    </row>
    <row r="228" spans="17:44">
      <c r="Q228" s="99" t="s">
        <v>4631</v>
      </c>
      <c r="R228" s="95">
        <v>42236984</v>
      </c>
      <c r="T228" s="214" t="s">
        <v>5062</v>
      </c>
      <c r="U228" s="214">
        <v>2820</v>
      </c>
      <c r="V228" s="113">
        <v>319.1096</v>
      </c>
      <c r="W228" s="113">
        <f t="shared" si="40"/>
        <v>899889.07200000004</v>
      </c>
      <c r="X228" s="99" t="s">
        <v>452</v>
      </c>
      <c r="Y228" s="96"/>
      <c r="AH228" s="196">
        <v>47</v>
      </c>
      <c r="AI228" s="196" t="s">
        <v>4883</v>
      </c>
      <c r="AJ228" s="197">
        <v>20000</v>
      </c>
      <c r="AK228" s="196">
        <v>4</v>
      </c>
      <c r="AL228" s="196">
        <f t="shared" ref="AL228:AL249" si="49">AK228+AL229</f>
        <v>64</v>
      </c>
      <c r="AM228" s="196">
        <f t="shared" ref="AM228:AM249" si="50">AJ228*AL228</f>
        <v>1280000</v>
      </c>
      <c r="AN228" s="196"/>
    </row>
    <row r="229" spans="17:44">
      <c r="Q229" s="99" t="s">
        <v>4633</v>
      </c>
      <c r="R229" s="95">
        <v>19663646</v>
      </c>
      <c r="T229" s="214" t="s">
        <v>5066</v>
      </c>
      <c r="U229" s="214">
        <v>1050</v>
      </c>
      <c r="V229" s="113">
        <v>325.44</v>
      </c>
      <c r="W229" s="113">
        <f t="shared" si="40"/>
        <v>341712</v>
      </c>
      <c r="X229" s="99" t="s">
        <v>452</v>
      </c>
      <c r="Y229" t="s">
        <v>25</v>
      </c>
      <c r="AH229" s="196">
        <v>48</v>
      </c>
      <c r="AI229" s="196" t="s">
        <v>4896</v>
      </c>
      <c r="AJ229" s="197">
        <v>30000000</v>
      </c>
      <c r="AK229" s="196">
        <v>27</v>
      </c>
      <c r="AL229" s="196">
        <f t="shared" si="49"/>
        <v>60</v>
      </c>
      <c r="AM229" s="196">
        <f t="shared" si="50"/>
        <v>1800000000</v>
      </c>
      <c r="AN229" s="196" t="s">
        <v>4898</v>
      </c>
    </row>
    <row r="230" spans="17:44">
      <c r="Q230" s="99" t="s">
        <v>4660</v>
      </c>
      <c r="R230" s="95">
        <v>4374525</v>
      </c>
      <c r="T230" s="168"/>
      <c r="U230" s="168"/>
      <c r="V230" s="113"/>
      <c r="W230" s="113"/>
      <c r="X230" s="99"/>
      <c r="AH230" s="20">
        <v>49</v>
      </c>
      <c r="AI230" s="20" t="s">
        <v>4985</v>
      </c>
      <c r="AJ230" s="117">
        <v>1100000</v>
      </c>
      <c r="AK230" s="20">
        <v>1</v>
      </c>
      <c r="AL230" s="20">
        <f t="shared" si="49"/>
        <v>33</v>
      </c>
      <c r="AM230" s="20">
        <f t="shared" si="50"/>
        <v>36300000</v>
      </c>
      <c r="AN230" s="20"/>
      <c r="AQ230" t="s">
        <v>25</v>
      </c>
    </row>
    <row r="231" spans="17:44">
      <c r="Q231" s="99" t="s">
        <v>4675</v>
      </c>
      <c r="R231" s="95">
        <v>6550580</v>
      </c>
      <c r="T231" s="168"/>
      <c r="U231" s="168">
        <f>SUM(U157:U230)</f>
        <v>3569209</v>
      </c>
      <c r="V231" s="99"/>
      <c r="W231" s="99"/>
      <c r="X231" s="99"/>
      <c r="AH231" s="20">
        <v>50</v>
      </c>
      <c r="AI231" s="20" t="s">
        <v>4987</v>
      </c>
      <c r="AJ231" s="117">
        <v>450000</v>
      </c>
      <c r="AK231" s="20">
        <v>0</v>
      </c>
      <c r="AL231" s="20">
        <f t="shared" si="49"/>
        <v>32</v>
      </c>
      <c r="AM231" s="20">
        <f t="shared" si="50"/>
        <v>14400000</v>
      </c>
      <c r="AN231" s="20"/>
    </row>
    <row r="232" spans="17:44">
      <c r="Q232" s="99" t="s">
        <v>4678</v>
      </c>
      <c r="R232" s="95">
        <v>7054895</v>
      </c>
      <c r="T232" s="99"/>
      <c r="U232" s="99" t="s">
        <v>6</v>
      </c>
      <c r="V232" s="99"/>
      <c r="W232" s="99"/>
      <c r="X232" s="99"/>
      <c r="AH232" s="149">
        <v>51</v>
      </c>
      <c r="AI232" s="149" t="s">
        <v>4987</v>
      </c>
      <c r="AJ232" s="189">
        <v>550000</v>
      </c>
      <c r="AK232" s="149">
        <v>1</v>
      </c>
      <c r="AL232" s="149">
        <f t="shared" si="49"/>
        <v>32</v>
      </c>
      <c r="AM232" s="149">
        <f t="shared" si="50"/>
        <v>17600000</v>
      </c>
      <c r="AN232" s="149"/>
    </row>
    <row r="233" spans="17:44">
      <c r="Q233" s="99" t="s">
        <v>4703</v>
      </c>
      <c r="R233" s="95">
        <v>2145814</v>
      </c>
      <c r="T233" s="201" t="s">
        <v>4487</v>
      </c>
      <c r="AH233" s="149">
        <v>52</v>
      </c>
      <c r="AI233" s="149" t="s">
        <v>4989</v>
      </c>
      <c r="AJ233" s="189">
        <v>1000000</v>
      </c>
      <c r="AK233" s="149">
        <v>8</v>
      </c>
      <c r="AL233" s="149">
        <f t="shared" si="49"/>
        <v>31</v>
      </c>
      <c r="AM233" s="149">
        <f t="shared" si="50"/>
        <v>31000000</v>
      </c>
      <c r="AN233" s="149"/>
    </row>
    <row r="234" spans="17:44">
      <c r="Q234" s="99" t="s">
        <v>4715</v>
      </c>
      <c r="R234" s="95">
        <v>4369730</v>
      </c>
      <c r="T234" s="200">
        <f>R167/U231</f>
        <v>330.41773544222258</v>
      </c>
      <c r="AH234" s="20">
        <v>53</v>
      </c>
      <c r="AI234" s="20" t="s">
        <v>4999</v>
      </c>
      <c r="AJ234" s="117">
        <v>-2668880</v>
      </c>
      <c r="AK234" s="20">
        <v>0</v>
      </c>
      <c r="AL234" s="20">
        <f t="shared" si="49"/>
        <v>23</v>
      </c>
      <c r="AM234" s="20">
        <f t="shared" si="50"/>
        <v>-61384240</v>
      </c>
      <c r="AN234" s="20" t="s">
        <v>5001</v>
      </c>
    </row>
    <row r="235" spans="17:44">
      <c r="Q235" s="99" t="s">
        <v>4718</v>
      </c>
      <c r="R235" s="95">
        <v>8739459</v>
      </c>
      <c r="W235" s="114"/>
      <c r="AH235" s="149">
        <v>54</v>
      </c>
      <c r="AI235" s="149" t="s">
        <v>4999</v>
      </c>
      <c r="AJ235" s="189">
        <v>-1528620</v>
      </c>
      <c r="AK235" s="149">
        <v>0</v>
      </c>
      <c r="AL235" s="149">
        <f t="shared" si="49"/>
        <v>23</v>
      </c>
      <c r="AM235" s="149">
        <f t="shared" si="50"/>
        <v>-35158260</v>
      </c>
      <c r="AN235" s="149" t="s">
        <v>5001</v>
      </c>
    </row>
    <row r="236" spans="17:44">
      <c r="Q236" s="99" t="s">
        <v>4727</v>
      </c>
      <c r="R236" s="95">
        <v>6667654</v>
      </c>
      <c r="U236" s="96" t="s">
        <v>267</v>
      </c>
      <c r="V236" t="s">
        <v>4488</v>
      </c>
      <c r="X236" t="s">
        <v>25</v>
      </c>
      <c r="AH236" s="20">
        <v>55</v>
      </c>
      <c r="AI236" s="20" t="s">
        <v>4999</v>
      </c>
      <c r="AJ236" s="117">
        <v>50000000</v>
      </c>
      <c r="AK236" s="20">
        <v>4</v>
      </c>
      <c r="AL236" s="20">
        <f t="shared" si="49"/>
        <v>23</v>
      </c>
      <c r="AM236" s="20">
        <f t="shared" si="50"/>
        <v>1150000000</v>
      </c>
      <c r="AN236" s="20"/>
    </row>
    <row r="237" spans="17:44">
      <c r="Q237" s="99" t="s">
        <v>3684</v>
      </c>
      <c r="R237" s="95">
        <v>8981245</v>
      </c>
      <c r="T237" s="114"/>
      <c r="U237" s="113">
        <v>100000</v>
      </c>
      <c r="V237">
        <f>U237/T234</f>
        <v>302.64719254903969</v>
      </c>
      <c r="X237" t="s">
        <v>25</v>
      </c>
      <c r="AH237" s="20">
        <v>56</v>
      </c>
      <c r="AI237" s="20" t="s">
        <v>5006</v>
      </c>
      <c r="AJ237" s="117">
        <v>400000</v>
      </c>
      <c r="AK237" s="20">
        <v>4</v>
      </c>
      <c r="AL237" s="20">
        <f t="shared" ref="AL237:AL248" si="51">AK237+AL238</f>
        <v>19</v>
      </c>
      <c r="AM237" s="20">
        <f t="shared" ref="AM237:AM248" si="52">AJ237*AL237</f>
        <v>7600000</v>
      </c>
      <c r="AN237" s="20"/>
    </row>
    <row r="238" spans="17:44">
      <c r="Q238" s="99" t="s">
        <v>4740</v>
      </c>
      <c r="R238" s="95">
        <v>9181756</v>
      </c>
      <c r="X238" t="s">
        <v>25</v>
      </c>
      <c r="AH238" s="20">
        <v>57</v>
      </c>
      <c r="AI238" s="20" t="s">
        <v>5025</v>
      </c>
      <c r="AJ238" s="117">
        <v>2000000</v>
      </c>
      <c r="AK238" s="20">
        <v>3</v>
      </c>
      <c r="AL238" s="20">
        <f t="shared" si="51"/>
        <v>15</v>
      </c>
      <c r="AM238" s="20">
        <f t="shared" si="52"/>
        <v>30000000</v>
      </c>
      <c r="AN238" s="20"/>
      <c r="AR238" t="s">
        <v>25</v>
      </c>
    </row>
    <row r="239" spans="17:44">
      <c r="Q239" s="99" t="s">
        <v>4744</v>
      </c>
      <c r="R239" s="95">
        <v>11811208</v>
      </c>
      <c r="W239" s="224"/>
      <c r="X239" s="96" t="s">
        <v>25</v>
      </c>
      <c r="AH239" s="20">
        <v>58</v>
      </c>
      <c r="AI239" s="20" t="s">
        <v>5028</v>
      </c>
      <c r="AJ239" s="117">
        <v>100000</v>
      </c>
      <c r="AK239" s="20">
        <v>4</v>
      </c>
      <c r="AL239" s="20">
        <f t="shared" si="51"/>
        <v>12</v>
      </c>
      <c r="AM239" s="20">
        <f t="shared" si="52"/>
        <v>1200000</v>
      </c>
      <c r="AN239" s="20" t="s">
        <v>3891</v>
      </c>
      <c r="AR239" t="s">
        <v>25</v>
      </c>
    </row>
    <row r="240" spans="17:44">
      <c r="Q240" s="99" t="s">
        <v>4758</v>
      </c>
      <c r="R240" s="95">
        <v>41248054</v>
      </c>
      <c r="X240" t="s">
        <v>25</v>
      </c>
      <c r="AH240" s="20">
        <v>59</v>
      </c>
      <c r="AI240" s="20" t="s">
        <v>5042</v>
      </c>
      <c r="AJ240" s="117">
        <v>100000</v>
      </c>
      <c r="AK240" s="20">
        <v>7</v>
      </c>
      <c r="AL240" s="20">
        <f t="shared" si="51"/>
        <v>8</v>
      </c>
      <c r="AM240" s="20">
        <f t="shared" si="52"/>
        <v>800000</v>
      </c>
      <c r="AN240" s="20"/>
    </row>
    <row r="241" spans="17:43">
      <c r="Q241" s="99" t="s">
        <v>4766</v>
      </c>
      <c r="R241" s="95">
        <v>37328780</v>
      </c>
      <c r="X241" t="s">
        <v>25</v>
      </c>
      <c r="AH241" s="20">
        <v>60</v>
      </c>
      <c r="AI241" s="20" t="s">
        <v>5066</v>
      </c>
      <c r="AJ241" s="117">
        <v>50000</v>
      </c>
      <c r="AK241" s="20">
        <v>0</v>
      </c>
      <c r="AL241" s="20">
        <f t="shared" si="51"/>
        <v>1</v>
      </c>
      <c r="AM241" s="20">
        <f t="shared" si="52"/>
        <v>50000</v>
      </c>
      <c r="AN241" s="20"/>
    </row>
    <row r="242" spans="17:43" ht="60">
      <c r="Q242" s="99" t="s">
        <v>4774</v>
      </c>
      <c r="R242" s="95">
        <v>50000000</v>
      </c>
      <c r="T242" s="22" t="s">
        <v>4471</v>
      </c>
      <c r="V242" s="224"/>
      <c r="AH242" s="149">
        <v>61</v>
      </c>
      <c r="AI242" s="149" t="s">
        <v>5066</v>
      </c>
      <c r="AJ242" s="189">
        <v>50000</v>
      </c>
      <c r="AK242" s="149">
        <v>1</v>
      </c>
      <c r="AL242" s="149">
        <f t="shared" si="51"/>
        <v>1</v>
      </c>
      <c r="AM242" s="149">
        <f t="shared" si="52"/>
        <v>50000</v>
      </c>
      <c r="AN242" s="149"/>
    </row>
    <row r="243" spans="17:43" ht="45">
      <c r="Q243" s="99" t="s">
        <v>4846</v>
      </c>
      <c r="R243" s="95">
        <v>68656</v>
      </c>
      <c r="T243" s="22" t="s">
        <v>4472</v>
      </c>
      <c r="AH243" s="20"/>
      <c r="AI243" s="20"/>
      <c r="AJ243" s="117"/>
      <c r="AK243" s="20"/>
      <c r="AL243" s="20">
        <f t="shared" si="51"/>
        <v>0</v>
      </c>
      <c r="AM243" s="20">
        <f t="shared" si="52"/>
        <v>0</v>
      </c>
      <c r="AN243" s="20"/>
    </row>
    <row r="244" spans="17:43">
      <c r="Q244" s="99" t="s">
        <v>4860</v>
      </c>
      <c r="R244" s="95">
        <v>4000236</v>
      </c>
      <c r="AH244" s="20"/>
      <c r="AI244" s="20"/>
      <c r="AJ244" s="117"/>
      <c r="AK244" s="20"/>
      <c r="AL244" s="20">
        <f t="shared" si="51"/>
        <v>0</v>
      </c>
      <c r="AM244" s="20">
        <f t="shared" si="52"/>
        <v>0</v>
      </c>
      <c r="AN244" s="20"/>
    </row>
    <row r="245" spans="17:43">
      <c r="Q245" s="99" t="s">
        <v>4860</v>
      </c>
      <c r="R245" s="95">
        <v>2250000</v>
      </c>
      <c r="AH245" s="20"/>
      <c r="AI245" s="20"/>
      <c r="AJ245" s="117"/>
      <c r="AK245" s="20"/>
      <c r="AL245" s="20">
        <f t="shared" si="51"/>
        <v>0</v>
      </c>
      <c r="AM245" s="20">
        <f t="shared" si="52"/>
        <v>0</v>
      </c>
      <c r="AN245" s="20"/>
    </row>
    <row r="246" spans="17:43">
      <c r="Q246" s="99" t="s">
        <v>4865</v>
      </c>
      <c r="R246" s="95">
        <v>-2512200</v>
      </c>
      <c r="T246" s="99" t="s">
        <v>4489</v>
      </c>
      <c r="U246" s="99" t="s">
        <v>4460</v>
      </c>
      <c r="V246" s="99" t="s">
        <v>953</v>
      </c>
      <c r="AH246" s="20"/>
      <c r="AI246" s="20"/>
      <c r="AJ246" s="117"/>
      <c r="AK246" s="20"/>
      <c r="AL246" s="20">
        <f t="shared" si="51"/>
        <v>0</v>
      </c>
      <c r="AM246" s="20">
        <f t="shared" si="52"/>
        <v>0</v>
      </c>
      <c r="AN246" s="20"/>
    </row>
    <row r="247" spans="17:43">
      <c r="Q247" s="99" t="s">
        <v>4874</v>
      </c>
      <c r="R247" s="95">
        <v>300000</v>
      </c>
      <c r="T247" s="95">
        <f>R188+R219+R263</f>
        <v>893069559</v>
      </c>
      <c r="U247" s="95">
        <f>R167</f>
        <v>1179329955.0999999</v>
      </c>
      <c r="V247" s="95">
        <f>U247-T247</f>
        <v>286260396.0999999</v>
      </c>
      <c r="AH247" s="20"/>
      <c r="AI247" s="20"/>
      <c r="AJ247" s="117"/>
      <c r="AK247" s="20"/>
      <c r="AL247" s="20">
        <f t="shared" si="51"/>
        <v>0</v>
      </c>
      <c r="AM247" s="20">
        <f t="shared" si="52"/>
        <v>0</v>
      </c>
      <c r="AN247" s="20"/>
    </row>
    <row r="248" spans="17:43">
      <c r="Q248" s="99" t="s">
        <v>981</v>
      </c>
      <c r="R248" s="95">
        <v>1100000</v>
      </c>
      <c r="AH248" s="99"/>
      <c r="AI248" s="99"/>
      <c r="AJ248" s="117"/>
      <c r="AK248" s="99"/>
      <c r="AL248" s="20">
        <f t="shared" si="51"/>
        <v>0</v>
      </c>
      <c r="AM248" s="20">
        <f t="shared" si="52"/>
        <v>0</v>
      </c>
      <c r="AN248" s="20"/>
    </row>
    <row r="249" spans="17:43">
      <c r="Q249" s="99" t="s">
        <v>4883</v>
      </c>
      <c r="R249" s="95">
        <v>890000</v>
      </c>
      <c r="AH249" s="99"/>
      <c r="AI249" s="99"/>
      <c r="AJ249" s="117"/>
      <c r="AK249" s="99"/>
      <c r="AL249" s="99">
        <f t="shared" si="49"/>
        <v>0</v>
      </c>
      <c r="AM249" s="99">
        <f t="shared" si="50"/>
        <v>0</v>
      </c>
      <c r="AN249" s="99"/>
      <c r="AP249" t="s">
        <v>25</v>
      </c>
    </row>
    <row r="250" spans="17:43">
      <c r="Q250" s="99" t="s">
        <v>4907</v>
      </c>
      <c r="R250" s="95">
        <v>1000000</v>
      </c>
      <c r="Y250" t="s">
        <v>25</v>
      </c>
      <c r="AH250" s="99"/>
      <c r="AI250" s="99"/>
      <c r="AJ250" s="95">
        <f>SUM(AJ182:AJ249)</f>
        <v>358119598</v>
      </c>
      <c r="AK250" s="99"/>
      <c r="AL250" s="99"/>
      <c r="AM250" s="99">
        <f>SUM(AM182:AM249)</f>
        <v>33308041953</v>
      </c>
      <c r="AN250" s="95">
        <f>AM250*AN168/31</f>
        <v>17907907.588085517</v>
      </c>
    </row>
    <row r="251" spans="17:43">
      <c r="Q251" s="99" t="s">
        <v>4908</v>
      </c>
      <c r="R251" s="95">
        <v>45436311</v>
      </c>
      <c r="Y251" t="s">
        <v>25</v>
      </c>
      <c r="AJ251" t="s">
        <v>4059</v>
      </c>
      <c r="AM251" t="s">
        <v>284</v>
      </c>
      <c r="AN251" t="s">
        <v>943</v>
      </c>
    </row>
    <row r="252" spans="17:43">
      <c r="Q252" s="99" t="s">
        <v>4908</v>
      </c>
      <c r="R252" s="95">
        <v>-3500000</v>
      </c>
      <c r="T252" t="s">
        <v>25</v>
      </c>
    </row>
    <row r="253" spans="17:43">
      <c r="Q253" s="99" t="s">
        <v>4925</v>
      </c>
      <c r="R253" s="95">
        <v>2520000</v>
      </c>
      <c r="T253" t="s">
        <v>25</v>
      </c>
      <c r="AI253" t="s">
        <v>4061</v>
      </c>
      <c r="AJ253" s="114">
        <f>AJ250+AN250</f>
        <v>376027505.58808553</v>
      </c>
      <c r="AQ253" t="s">
        <v>25</v>
      </c>
    </row>
    <row r="254" spans="17:43">
      <c r="Q254" s="99" t="s">
        <v>4962</v>
      </c>
      <c r="R254" s="95">
        <v>4900000</v>
      </c>
      <c r="AI254" t="s">
        <v>4064</v>
      </c>
      <c r="AJ254" s="114">
        <f>SUM(N20:N31)</f>
        <v>459758646.49999994</v>
      </c>
    </row>
    <row r="255" spans="17:43">
      <c r="Q255" s="99" t="s">
        <v>4985</v>
      </c>
      <c r="R255" s="95">
        <v>1150000</v>
      </c>
      <c r="T255" t="s">
        <v>25</v>
      </c>
      <c r="AI255" t="s">
        <v>4136</v>
      </c>
      <c r="AJ255" s="114">
        <f>AJ254-AJ250</f>
        <v>101639048.49999994</v>
      </c>
    </row>
    <row r="256" spans="17:43">
      <c r="Q256" s="99" t="s">
        <v>4934</v>
      </c>
      <c r="R256" s="95">
        <v>250000</v>
      </c>
      <c r="T256" t="s">
        <v>25</v>
      </c>
      <c r="AI256" t="s">
        <v>943</v>
      </c>
      <c r="AJ256" s="114">
        <f>AN250</f>
        <v>17907907.588085517</v>
      </c>
    </row>
    <row r="257" spans="17:40">
      <c r="Q257" s="99" t="s">
        <v>5034</v>
      </c>
      <c r="R257" s="95">
        <v>1403460</v>
      </c>
      <c r="AI257" t="s">
        <v>4065</v>
      </c>
      <c r="AJ257" s="114">
        <f>AJ255-AJ256</f>
        <v>83731140.911914423</v>
      </c>
      <c r="AN257" t="s">
        <v>25</v>
      </c>
    </row>
    <row r="258" spans="17:40">
      <c r="Q258" s="99" t="s">
        <v>5042</v>
      </c>
      <c r="R258" s="95">
        <v>200000</v>
      </c>
      <c r="AN258" t="s">
        <v>25</v>
      </c>
    </row>
    <row r="259" spans="17:40">
      <c r="Q259" s="99" t="s">
        <v>5053</v>
      </c>
      <c r="R259" s="95">
        <v>345000</v>
      </c>
      <c r="T259" t="s">
        <v>25</v>
      </c>
    </row>
    <row r="260" spans="17:40">
      <c r="Q260" s="99" t="s">
        <v>5062</v>
      </c>
      <c r="R260" s="95">
        <v>900000</v>
      </c>
      <c r="T260" t="s">
        <v>25</v>
      </c>
    </row>
    <row r="261" spans="17:40">
      <c r="Q261" s="99" t="s">
        <v>5066</v>
      </c>
      <c r="R261" s="95">
        <v>341774</v>
      </c>
      <c r="AN261" t="s">
        <v>25</v>
      </c>
    </row>
    <row r="262" spans="17:40">
      <c r="Q262" s="99"/>
      <c r="R262" s="95"/>
      <c r="T262" t="s">
        <v>25</v>
      </c>
    </row>
    <row r="263" spans="17:40">
      <c r="Q263" s="99"/>
      <c r="R263" s="95">
        <f>SUM(R224:R262)</f>
        <v>425153179</v>
      </c>
      <c r="T263" t="s">
        <v>25</v>
      </c>
    </row>
    <row r="264" spans="17:40">
      <c r="Q264" s="99"/>
      <c r="R264" s="99" t="s">
        <v>6</v>
      </c>
    </row>
    <row r="266" spans="17:40">
      <c r="T266" t="s">
        <v>25</v>
      </c>
    </row>
    <row r="267" spans="17:40">
      <c r="T267" t="s">
        <v>25</v>
      </c>
      <c r="Y267" t="s">
        <v>25</v>
      </c>
    </row>
    <row r="268" spans="17:40">
      <c r="T268" t="s">
        <v>25</v>
      </c>
    </row>
    <row r="272" spans="17:40">
      <c r="R272" t="s">
        <v>25</v>
      </c>
    </row>
    <row r="298" spans="16:16">
      <c r="P298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26:G1048576 G114:G117 G119 G100:G107">
    <cfRule type="cellIs" dxfId="9" priority="12" operator="lessThan">
      <formula>0</formula>
    </cfRule>
  </conditionalFormatting>
  <conditionalFormatting sqref="G109">
    <cfRule type="cellIs" dxfId="8" priority="3" operator="lessThan">
      <formula>0</formula>
    </cfRule>
  </conditionalFormatting>
  <conditionalFormatting sqref="G110 G112">
    <cfRule type="cellIs" dxfId="7" priority="4" operator="lessThan">
      <formula>0</formula>
    </cfRule>
  </conditionalFormatting>
  <conditionalFormatting sqref="G113">
    <cfRule type="cellIs" dxfId="6" priority="1" operator="lessThan">
      <formula>0</formula>
    </cfRule>
  </conditionalFormatting>
  <conditionalFormatting sqref="G108">
    <cfRule type="cellIs" dxfId="5" priority="5" operator="lessThan">
      <formula>0</formula>
    </cfRule>
  </conditionalFormatting>
  <conditionalFormatting sqref="G111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6 S102 S106 S117 S93 S36 G122 P22 S110 S112 S122 S127 P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2019-05-29T10:42:54Z</dcterms:modified>
</cp:coreProperties>
</file>