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P141" i="18" l="1"/>
  <c r="W197" i="18"/>
  <c r="W196" i="18"/>
  <c r="Y206" i="18"/>
  <c r="M46" i="52"/>
  <c r="M45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G63" i="52"/>
  <c r="C24" i="56" l="1"/>
  <c r="B24" i="56"/>
  <c r="R210" i="18" l="1"/>
  <c r="R234" i="18"/>
  <c r="W195" i="18"/>
  <c r="W194" i="18"/>
  <c r="N34" i="52"/>
  <c r="N33" i="52"/>
  <c r="P42" i="52"/>
  <c r="R36" i="52"/>
  <c r="X208" i="18"/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33" i="57" l="1"/>
  <c r="H38" i="57" s="1"/>
  <c r="D315" i="20"/>
  <c r="D314" i="20"/>
  <c r="I2" i="57" l="1"/>
  <c r="I33" i="57" s="1"/>
  <c r="I38" i="57" s="1"/>
  <c r="D32" i="57"/>
  <c r="M39" i="52"/>
  <c r="Z26" i="52"/>
  <c r="AD32" i="52"/>
  <c r="Z32" i="52"/>
  <c r="AE32" i="52"/>
  <c r="W193" i="18" l="1"/>
  <c r="W192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AL201" i="18" l="1"/>
  <c r="AM201" i="18" s="1"/>
  <c r="AL200" i="18"/>
  <c r="AM200" i="18" s="1"/>
  <c r="AL202" i="18"/>
  <c r="AL199" i="18" s="1"/>
  <c r="AM199" i="18" s="1"/>
  <c r="U200" i="18"/>
  <c r="W191" i="18"/>
  <c r="W190" i="18"/>
  <c r="N30" i="52"/>
  <c r="N29" i="52"/>
  <c r="AD27" i="52"/>
  <c r="Z27" i="52"/>
  <c r="AE27" i="52"/>
  <c r="AM202" i="18" l="1"/>
  <c r="W189" i="18"/>
  <c r="W188" i="18"/>
  <c r="L45" i="52"/>
  <c r="N28" i="52"/>
  <c r="N27" i="52"/>
  <c r="AD26" i="52" l="1"/>
  <c r="AE26" i="52"/>
  <c r="N38" i="18"/>
  <c r="D313" i="20" l="1"/>
  <c r="L36" i="18" l="1"/>
  <c r="L111" i="18"/>
  <c r="W187" i="18" l="1"/>
  <c r="W186" i="18"/>
  <c r="AJ148" i="18"/>
  <c r="N24" i="52"/>
  <c r="N26" i="52"/>
  <c r="N25" i="52"/>
  <c r="R182" i="18" l="1"/>
  <c r="T216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5" i="18"/>
  <c r="W184" i="18"/>
  <c r="N23" i="52"/>
  <c r="N22" i="52"/>
  <c r="Z24" i="52"/>
  <c r="AD24" i="52"/>
  <c r="AE24" i="52"/>
  <c r="K324" i="20" l="1"/>
  <c r="J324" i="20"/>
  <c r="G323" i="20"/>
  <c r="I324" i="20"/>
  <c r="AL198" i="18"/>
  <c r="W183" i="18"/>
  <c r="W182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M105" i="18" s="1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K320" i="20" l="1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1" i="18"/>
  <c r="W180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9" i="18"/>
  <c r="W178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7" i="18"/>
  <c r="W176" i="18"/>
  <c r="D303" i="20"/>
  <c r="D302" i="20"/>
  <c r="W175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73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72" i="18" l="1"/>
  <c r="W171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0" i="18"/>
  <c r="W169" i="18"/>
  <c r="H38" i="55" l="1"/>
  <c r="I2" i="55"/>
  <c r="I33" i="55" s="1"/>
  <c r="I38" i="55" s="1"/>
  <c r="D32" i="55"/>
  <c r="D293" i="20"/>
  <c r="W168" i="18" l="1"/>
  <c r="N50" i="18"/>
  <c r="M107" i="18" s="1"/>
  <c r="N53" i="18"/>
  <c r="N107" i="18" l="1"/>
  <c r="D292" i="20"/>
  <c r="C8" i="36"/>
  <c r="W167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6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7" i="18"/>
  <c r="D281" i="20" l="1"/>
  <c r="D280" i="20" l="1"/>
  <c r="AD5" i="52" l="1"/>
  <c r="B38" i="52"/>
  <c r="D279" i="20"/>
  <c r="W142" i="18" l="1"/>
  <c r="W165" i="18"/>
  <c r="D278" i="20"/>
  <c r="W144" i="18" l="1"/>
  <c r="W143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7" i="18"/>
  <c r="S136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1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N39" i="52" l="1"/>
  <c r="M41" i="52" s="1"/>
  <c r="AL129" i="18"/>
  <c r="AM130" i="18"/>
  <c r="O39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4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3" i="18"/>
  <c r="AM124" i="18" l="1"/>
  <c r="AL123" i="18"/>
  <c r="AM123" i="18" l="1"/>
  <c r="AL122" i="18"/>
  <c r="AL121" i="18" l="1"/>
  <c r="AM122" i="18"/>
  <c r="W157" i="18"/>
  <c r="W158" i="18"/>
  <c r="W159" i="18"/>
  <c r="W160" i="18"/>
  <c r="W161" i="18"/>
  <c r="W162" i="18"/>
  <c r="W174" i="18"/>
  <c r="W156" i="18"/>
  <c r="AM121" i="18" l="1"/>
  <c r="AL120" i="18"/>
  <c r="N55" i="18"/>
  <c r="AM120" i="18" l="1"/>
  <c r="AL119" i="18"/>
  <c r="AM119" i="18" l="1"/>
  <c r="AL118" i="18"/>
  <c r="T140" i="18"/>
  <c r="S52" i="18"/>
  <c r="S53" i="18" s="1"/>
  <c r="S54" i="18" s="1"/>
  <c r="R161" i="18"/>
  <c r="R160" i="18"/>
  <c r="R159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58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7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0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4" i="18"/>
  <c r="Q132" i="18" s="1"/>
  <c r="R156" i="18" l="1"/>
  <c r="R166" i="18" s="1"/>
  <c r="U216" i="18" s="1"/>
  <c r="M103" i="18"/>
  <c r="N103" i="18" s="1"/>
  <c r="N111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G304" i="20" l="1"/>
  <c r="I305" i="20"/>
  <c r="K305" i="20"/>
  <c r="J305" i="20"/>
  <c r="S112" i="18"/>
  <c r="S113" i="18" s="1"/>
  <c r="AL73" i="18"/>
  <c r="AM74" i="18"/>
  <c r="N86" i="18"/>
  <c r="V39" i="18" l="1"/>
  <c r="V42" i="18"/>
  <c r="V41" i="18"/>
  <c r="V40" i="18"/>
  <c r="W39" i="18"/>
  <c r="X39" i="18"/>
  <c r="V38" i="18"/>
  <c r="V37" i="18"/>
  <c r="S114" i="18"/>
  <c r="S115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T203" i="18"/>
  <c r="V206" i="18" s="1"/>
  <c r="V216" i="18"/>
  <c r="V31" i="18"/>
  <c r="W31" i="18" s="1"/>
  <c r="V59" i="18"/>
  <c r="V113" i="18"/>
  <c r="V111" i="18"/>
  <c r="V110" i="18"/>
  <c r="V109" i="18"/>
  <c r="V108" i="18"/>
  <c r="V112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1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40" i="18" l="1"/>
  <c r="X40" i="18"/>
  <c r="X41" i="18"/>
  <c r="W41" i="18"/>
  <c r="W42" i="18"/>
  <c r="X42" i="18"/>
  <c r="W37" i="18"/>
  <c r="X37" i="18"/>
  <c r="W38" i="18"/>
  <c r="X38" i="18"/>
  <c r="V114" i="18"/>
  <c r="X114" i="18" s="1"/>
  <c r="S116" i="18"/>
  <c r="V115" i="18"/>
  <c r="W115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4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2" i="18"/>
  <c r="W112" i="18"/>
  <c r="W111" i="18"/>
  <c r="X111" i="18"/>
  <c r="W109" i="18"/>
  <c r="X109" i="18"/>
  <c r="W113" i="18"/>
  <c r="X113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1" i="18"/>
  <c r="X131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3" i="18"/>
  <c r="N34" i="18" s="1"/>
  <c r="S142" i="18"/>
  <c r="U142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4" i="18" l="1"/>
  <c r="X115" i="18"/>
  <c r="S117" i="18"/>
  <c r="V116" i="18"/>
  <c r="N63" i="18"/>
  <c r="U144" i="18"/>
  <c r="L21" i="18"/>
  <c r="G301" i="20"/>
  <c r="I302" i="20"/>
  <c r="K302" i="20"/>
  <c r="J302" i="20"/>
  <c r="U143" i="18"/>
  <c r="V143" i="18" s="1"/>
  <c r="AL70" i="18"/>
  <c r="AM71" i="18"/>
  <c r="X116" i="18" l="1"/>
  <c r="W116" i="18"/>
  <c r="S118" i="18"/>
  <c r="V11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7" i="18" l="1"/>
  <c r="X117" i="18"/>
  <c r="S119" i="18"/>
  <c r="V118" i="18"/>
  <c r="G299" i="20"/>
  <c r="I300" i="20"/>
  <c r="K300" i="20"/>
  <c r="J300" i="20"/>
  <c r="AL68" i="18"/>
  <c r="AM69" i="18"/>
  <c r="N2" i="33"/>
  <c r="W118" i="18" l="1"/>
  <c r="X118" i="18"/>
  <c r="S120" i="18"/>
  <c r="V11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9" i="18" l="1"/>
  <c r="W119" i="18"/>
  <c r="S121" i="18"/>
  <c r="V120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20" i="18" l="1"/>
  <c r="X120" i="18"/>
  <c r="S122" i="18"/>
  <c r="V121" i="18"/>
  <c r="I297" i="20"/>
  <c r="K297" i="20"/>
  <c r="J297" i="20"/>
  <c r="G296" i="20"/>
  <c r="AL65" i="18"/>
  <c r="AM66" i="18"/>
  <c r="E45" i="14"/>
  <c r="X121" i="18" l="1"/>
  <c r="W121" i="18"/>
  <c r="S123" i="18"/>
  <c r="V122" i="18"/>
  <c r="G295" i="20"/>
  <c r="K296" i="20"/>
  <c r="I296" i="20"/>
  <c r="J296" i="20"/>
  <c r="AL64" i="18"/>
  <c r="AM65" i="18"/>
  <c r="E44" i="14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S127" i="18"/>
  <c r="X125" i="18"/>
  <c r="W125" i="18"/>
  <c r="W126" i="18"/>
  <c r="X126" i="18"/>
  <c r="J292" i="20"/>
  <c r="I292" i="20"/>
  <c r="G291" i="20"/>
  <c r="K292" i="20"/>
  <c r="AM61" i="18"/>
  <c r="AL60" i="18"/>
  <c r="E40" i="14"/>
  <c r="G40" i="14" s="1"/>
  <c r="V127" i="18" l="1"/>
  <c r="W127" i="18" s="1"/>
  <c r="S128" i="18"/>
  <c r="X127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2" i="18"/>
  <c r="V14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<sst xmlns="http://schemas.openxmlformats.org/spreadsheetml/2006/main" count="10997" uniqueCount="4840">
  <si>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</si>
  <si>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</si>
  <si>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</si>
  <si>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</si>
  <si>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</si>
  <si>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</si>
  <si>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</si>
  <si>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</si>
  <si>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</si>
  <si>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</si>
  <si>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</si>
  <si>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</si>
  <si>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</si>
  <si>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</si>
  <si>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</si>
  <si>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</si>
  <si>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</si>
  <si>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</si>
  <si>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</si>
  <si>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</si>
  <si>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</si>
  <si>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</si>
  <si>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</si>
  <si>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</si>
  <si>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</si>
  <si>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</si>
  <si>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</si>
  <si>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</si>
  <si>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</si>
  <si>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</si>
  <si>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</si>
  <si>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</si>
  <si>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</si>
  <si>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</si>
  <si>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</si>
  <si>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</si>
  <si>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</si>
  <si>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</si>
  <si>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</si>
  <si>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</si>
  <si>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</si>
  <si>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</si>
  <si>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</si>
  <si>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</si>
  <si>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</si>
  <si>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</si>
  <si>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</si>
  <si>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</si>
  <si>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</si>
  <si>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</si>
  <si>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</si>
  <si>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</si>
  <si>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</si>
  <si>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</si>
  <si>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</si>
  <si>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</si>
  <si>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</si>
  <si>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</si>
  <si>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</si>
  <si>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</si>
  <si>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</si>
  <si>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</si>
  <si>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</si>
  <si>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</si>
  <si>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</si>
  <si>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</si>
  <si>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</si>
  <si>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</si>
  <si>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</si>
  <si>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</si>
  <si>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</si>
  <si>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</si>
  <si>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</si>
  <si>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</si>
  <si>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</si>
  <si>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</si>
  <si>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</si>
  <si>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</si>
  <si>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</si>
  <si>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</si>
  <si>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</si>
  <si>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</si>
  <si>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</si>
  <si>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</si>
  <si>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</si>
  <si>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</si>
  <si>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</si>
  <si>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</si>
  <si>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</si>
  <si>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</si>
  <si>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</si>
  <si>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</si>
  <si>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</si>
  <si>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</si>
  <si>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</si>
  <si>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</si>
  <si>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</si>
  <si>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</si>
  <si>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</si>
  <si>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</si>
  <si>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</si>
  <si>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</si>
  <si>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</si>
  <si>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</si>
  <si>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</si>
  <si>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</si>
  <si>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</si>
  <si>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</si>
  <si>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</si>
  <si>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</si>
  <si>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</si>
  <si>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</si>
  <si>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</si>
  <si>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</si>
  <si>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</si>
  <si>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</si>
  <si>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</si>
  <si>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</si>
  <si>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</si>
  <si>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</si>
  <si>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</si>
  <si>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</si>
  <si>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</si>
  <si>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</si>
  <si>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</si>
  <si>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</si>
  <si>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</si>
  <si>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</si>
  <si>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</si>
  <si>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</si>
  <si>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</si>
  <si>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</si>
  <si>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</si>
  <si>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</si>
  <si>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</si>
  <si>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</si>
  <si>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</si>
  <si>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</si>
  <si>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</si>
  <si>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</si>
  <si>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</si>
  <si>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</si>
  <si>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</si>
  <si>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</si>
  <si>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</si>
  <si>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</si>
  <si>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</si>
  <si>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</si>
  <si>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</si>
  <si>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</si>
  <si>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</si>
  <si>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</si>
  <si>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</si>
  <si>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</si>
  <si>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</si>
  <si>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</si>
  <si>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</si>
  <si>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</si>
  <si>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</si>
  <si>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</si>
  <si>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</si>
  <si>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</si>
  <si>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</si>
  <si>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</si>
  <si>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</si>
  <si>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</si>
  <si>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</si>
  <si>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</si>
  <si>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</si>
  <si>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</si>
  <si>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</si>
  <si>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</si>
  <si>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</si>
  <si>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</si>
  <si>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</si>
  <si>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</si>
  <si>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</si>
  <si>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</si>
  <si>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</si>
  <si>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</si>
  <si>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</si>
  <si>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</si>
  <si>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</si>
  <si>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</si>
  <si>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</si>
  <si>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</si>
  <si>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</si>
  <si>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</si>
  <si>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</si>
  <si>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</si>
  <si>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</si>
  <si>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</si>
  <si>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</si>
  <si>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</si>
  <si>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</si>
  <si>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</si>
  <si>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</si>
  <si>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</si>
  <si>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</si>
  <si>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</si>
  <si>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</si>
  <si>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</si>
  <si>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</si>
  <si>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</si>
  <si>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</si>
  <si>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</si>
  <si>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</si>
  <si>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</si>
  <si>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</si>
  <si>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</si>
  <si>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</si>
  <si>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</si>
  <si>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</si>
  <si>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</si>
  <si>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</si>
  <si>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</si>
  <si>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</si>
  <si>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</si>
  <si>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</si>
  <si>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</si>
  <si>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</si>
  <si>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</si>
  <si>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</si>
  <si>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</si>
  <si>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</si>
  <si>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</si>
  <si>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</si>
  <si>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</si>
  <si>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</si>
  <si>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</si>
  <si>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</si>
  <si>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</si>
  <si>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</si>
  <si>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</si>
  <si>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</si>
  <si>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</si>
  <si>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</si>
  <si>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</si>
  <si>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</si>
  <si>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</si>
  <si>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</si>
  <si>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</si>
  <si>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</si>
  <si>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</si>
  <si>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</si>
  <si>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</si>
  <si>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</si>
  <si>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</si>
  <si>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</si>
  <si>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</si>
  <si>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</si>
  <si>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</si>
  <si>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</si>
  <si>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</si>
  <si>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</si>
  <si>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</si>
  <si>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</si>
  <si>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</si>
  <si>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</si>
  <si>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</si>
  <si>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</si>
  <si>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</si>
  <si>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</si>
  <si>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</si>
  <si>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</si>
  <si>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</si>
  <si>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</si>
  <si>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</si>
  <si>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</si>
  <si>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</si>
  <si>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</si>
  <si>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</si>
  <si>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</si>
  <si>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</si>
  <si>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</si>
  <si>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</si>
  <si>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</si>
  <si>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</si>
  <si>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</si>
  <si>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</si>
  <si>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</si>
  <si>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</si>
  <si>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</si>
  <si>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</si>
  <si>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</si>
  <si>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</si>
  <si>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</si>
  <si>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</si>
  <si>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</si>
  <si>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</si>
  <si>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</si>
  <si>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</si>
  <si>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</si>
  <si>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</si>
  <si>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</si>
  <si>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</si>
  <si>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</si>
  <si>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</si>
  <si>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</si>
  <si>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</si>
  <si>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</si>
  <si>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</si>
  <si>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</si>
  <si>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</si>
  <si>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</si>
  <si>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</si>
  <si>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</si>
  <si>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</si>
  <si>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</si>
  <si>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</si>
  <si>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</si>
  <si>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</si>
  <si>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</si>
  <si>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</si>
  <si>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</si>
  <si>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</si>
  <si>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</si>
  <si>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</si>
  <si>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</si>
  <si>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</si>
  <si>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</si>
  <si>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</si>
  <si>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</si>
  <si>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</si>
  <si>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</si>
  <si>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</si>
  <si>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</si>
  <si>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</si>
  <si>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</si>
  <si>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</si>
  <si>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</si>
  <si>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</si>
  <si>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</si>
  <si>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</si>
  <si>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</si>
  <si>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</si>
  <si>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</si>
  <si>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</si>
  <si>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</si>
  <si>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</si>
  <si>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</si>
  <si>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</si>
  <si>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</si>
  <si>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</si>
  <si>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</si>
  <si>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</si>
  <si>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</si>
  <si>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</si>
  <si>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</si>
  <si>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</si>
  <si>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</si>
  <si>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</si>
  <si>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</si>
  <si>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</si>
  <si>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</si>
  <si>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</si>
  <si>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</si>
  <si>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</si>
  <si>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</si>
  <si>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</si>
  <si>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</si>
  <si>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</si>
  <si>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</si>
  <si>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</si>
  <si>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</si>
  <si>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</si>
  <si>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</si>
  <si>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</si>
  <si>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</si>
  <si>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</si>
  <si>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</si>
  <si>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</si>
  <si>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</si>
  <si>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</si>
  <si>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</si>
  <si>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</si>
  <si>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</si>
  <si>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</si>
  <si>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</si>
  <si>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</si>
  <si>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</si>
  <si>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</si>
  <si>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</si>
  <si>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</si>
  <si>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</si>
  <si>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</si>
  <si>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</si>
  <si>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</si>
  <si>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</si>
  <si>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</si>
  <si>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</si>
  <si>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</si>
  <si>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</si>
  <si>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</si>
  <si>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</si>
  <si>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</si>
  <si>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</si>
  <si>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</si>
  <si>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</si>
  <si>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</si>
  <si>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</si>
  <si>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</si>
  <si>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</si>
  <si>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</si>
  <si>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</si>
  <si>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</si>
  <si>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</si>
  <si>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</si>
  <si>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</si>
  <si>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</si>
  <si>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</si>
  <si>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</si>
  <si>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</si>
  <si>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</si>
  <si>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</si>
  <si>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</si>
  <si>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</si>
  <si>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</si>
  <si>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</si>
  <si>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</si>
  <si>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</si>
  <si>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</si>
  <si>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</si>
  <si>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</si>
  <si>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</si>
  <si>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</si>
  <si>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</si>
  <si>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</si>
  <si>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</si>
  <si>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</si>
  <si>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</si>
  <si>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</si>
  <si>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</si>
  <si>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</si>
  <si>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</si>
  <si>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</si>
  <si>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</si>
  <si>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</si>
  <si>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</si>
  <si>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</si>
  <si>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</si>
  <si>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</si>
  <si>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</si>
  <si>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</si>
  <si>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</si>
  <si>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</si>
  <si>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</si>
  <si>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</si>
  <si>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</si>
  <si>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</si>
  <si>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</si>
  <si>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</si>
  <si>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</si>
  <si>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</si>
  <si>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</si>
  <si>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</si>
  <si>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</si>
  <si>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</si>
  <si>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</si>
  <si>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</si>
  <si>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</si>
  <si>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</si>
  <si>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</si>
  <si>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</si>
  <si>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</si>
  <si>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</si>
  <si>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</si>
  <si>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</si>
  <si>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</si>
  <si>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</si>
  <si>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</si>
  <si>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</si>
  <si>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</si>
  <si>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</si>
  <si>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</si>
  <si>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</si>
  <si>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</si>
  <si>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</si>
  <si>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</si>
  <si>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</si>
  <si>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</si>
  <si>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</si>
  <si>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</si>
  <si>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</si>
  <si>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</si>
  <si>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</si>
  <si>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</si>
  <si>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</si>
  <si>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</si>
  <si>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</si>
  <si>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</si>
  <si>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</si>
  <si>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</si>
  <si>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</si>
  <si>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</si>
  <si>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</si>
  <si>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</si>
  <si>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</si>
  <si>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</si>
  <si>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</si>
  <si>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</si>
  <si>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</si>
  <si>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</si>
  <si>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</si>
  <si>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</si>
  <si>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</si>
  <si>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</si>
  <si>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</si>
  <si>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</si>
  <si>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</si>
  <si>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</si>
  <si>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</si>
  <si>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</si>
  <si>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</si>
  <si>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</si>
  <si>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</si>
  <si>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</si>
  <si>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</si>
  <si>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</si>
  <si>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</si>
  <si>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</si>
  <si>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</si>
  <si>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</si>
  <si>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</si>
  <si>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</si>
  <si>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</si>
  <si>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</si>
  <si>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</si>
  <si>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</si>
  <si>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</si>
  <si>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</si>
  <si>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</si>
  <si>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</si>
  <si>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</si>
  <si>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</si>
  <si>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</si>
  <si>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</si>
  <si>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</si>
  <si>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</si>
  <si>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</si>
  <si>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</si>
  <si>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</si>
  <si>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</si>
  <si>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</si>
  <si>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</si>
  <si>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</si>
  <si>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</si>
  <si>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</si>
  <si>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</si>
  <si>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</si>
  <si>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</si>
  <si>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</si>
  <si>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</si>
  <si>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</si>
  <si>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</si>
  <si>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</si>
  <si>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</si>
  <si>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</si>
  <si>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</si>
  <si>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</si>
  <si>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</si>
  <si>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</si>
  <si>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</si>
  <si>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</si>
  <si>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</si>
  <si>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</si>
  <si>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</si>
  <si>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</si>
  <si>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</si>
  <si>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</si>
  <si>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</si>
  <si>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</si>
  <si>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</si>
  <si>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</si>
  <si>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</si>
  <si>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</si>
  <si>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</si>
  <si>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</si>
  <si>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</si>
  <si>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</si>
  <si>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</si>
  <si>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</si>
  <si>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</si>
  <si>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</si>
  <si>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</si>
  <si>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</si>
  <si>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</si>
  <si>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</si>
  <si>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</si>
  <si>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</si>
  <si>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</si>
  <si>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</si>
  <si>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</si>
  <si>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</si>
  <si>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</si>
  <si>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</si>
  <si>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</si>
  <si>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</si>
  <si>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</si>
  <si>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</si>
  <si>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</si>
  <si>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</si>
  <si>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</si>
  <si>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</si>
  <si>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</si>
  <si>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</si>
  <si>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</si>
  <si>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</si>
  <si>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</si>
  <si>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</si>
  <si>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</si>
  <si>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</si>
  <si>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</si>
  <si>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</si>
  <si>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</si>
  <si>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</si>
  <si>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</si>
  <si>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</si>
  <si>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</si>
  <si>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</si>
  <si>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</si>
  <si>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</si>
  <si>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</si>
  <si>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</si>
  <si>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</si>
  <si>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</si>
  <si>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</si>
  <si>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</si>
  <si>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</si>
  <si>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</si>
  <si>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</si>
  <si>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</si>
  <si>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</si>
  <si>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</si>
  <si>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</si>
  <si>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</si>
  <si>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</si>
  <si>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</si>
  <si>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</si>
  <si>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</si>
  <si>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</si>
  <si>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</si>
  <si>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</si>
  <si>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</si>
  <si>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</si>
  <si>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</si>
  <si>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</si>
  <si>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</si>
  <si>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</si>
  <si>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</si>
  <si>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</si>
  <si>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</si>
  <si>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</si>
  <si>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</si>
  <si>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</si>
  <si>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</si>
  <si>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</si>
  <si>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</si>
  <si>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</si>
  <si>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</si>
  <si>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</si>
  <si>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</si>
  <si>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</si>
  <si>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</si>
  <si>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</si>
  <si>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</si>
  <si>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</si>
  <si>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</si>
  <si>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</si>
  <si>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</si>
  <si>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</si>
  <si>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</si>
  <si>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</si>
  <si>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</si>
  <si>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</si>
  <si>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</si>
  <si>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</si>
  <si>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</si>
  <si>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</si>
  <si>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</si>
  <si>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</si>
  <si>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</si>
  <si>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</si>
  <si>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</si>
  <si>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</si>
  <si>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</si>
  <si>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</si>
  <si>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</si>
  <si>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</si>
  <si>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</si>
  <si>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</si>
  <si>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</si>
  <si>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</si>
  <si>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</si>
  <si>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</si>
  <si>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</si>
  <si>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</si>
  <si>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</si>
  <si>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</si>
  <si>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</si>
  <si>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</si>
  <si>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</si>
  <si>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</si>
  <si>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</si>
  <si>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</si>
  <si>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</si>
  <si>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</si>
  <si>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</si>
  <si>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</si>
  <si>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</si>
  <si>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</si>
  <si>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</si>
  <si>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</si>
  <si>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</si>
  <si>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</si>
  <si>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</si>
  <si>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</si>
  <si>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</si>
  <si>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</si>
  <si>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</si>
  <si>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</si>
  <si>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</si>
  <si>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</si>
  <si>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</si>
  <si>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</si>
  <si>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</si>
  <si>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</si>
  <si>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</si>
  <si>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</si>
  <si>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</si>
  <si>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</si>
  <si>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</si>
  <si>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</si>
  <si>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</si>
  <si>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</si>
  <si>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</si>
  <si>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</si>
  <si>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</si>
  <si>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</si>
  <si>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</si>
  <si>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</si>
  <si>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</si>
  <si>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</si>
  <si>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</si>
  <si>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</si>
  <si>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</si>
  <si>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</si>
  <si>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</si>
  <si>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</si>
  <si>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</si>
  <si>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</si>
  <si>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</si>
  <si>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</si>
  <si>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</si>
  <si>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</si>
  <si>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</si>
  <si>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</si>
  <si>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</si>
  <si>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</si>
  <si>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</si>
  <si>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</si>
  <si>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</si>
  <si>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</si>
  <si>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</si>
  <si>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</si>
  <si>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</si>
  <si>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</si>
  <si>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</si>
  <si>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</si>
  <si>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</si>
  <si>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</si>
  <si>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</si>
  <si>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</si>
  <si>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</si>
  <si>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</si>
  <si>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</si>
  <si>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</si>
  <si>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</si>
  <si>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</si>
  <si>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</si>
  <si>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</si>
  <si>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</si>
  <si>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</si>
  <si>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</si>
  <si>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</si>
  <si>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</si>
  <si>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</si>
  <si>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</si>
  <si>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</si>
  <si>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</si>
  <si>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</si>
  <si>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</si>
  <si>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</si>
  <si>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</si>
  <si>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</si>
  <si>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</si>
  <si>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</si>
  <si>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</si>
  <si>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</si>
  <si>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</si>
  <si>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</si>
  <si>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</si>
  <si>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</si>
  <si>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</si>
  <si>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</si>
  <si>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</si>
  <si>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</si>
  <si>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</si>
  <si>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</si>
  <si>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</si>
  <si>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</si>
  <si>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</si>
  <si>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</si>
  <si>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</si>
  <si>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</si>
  <si>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</si>
  <si>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</si>
  <si>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</si>
  <si>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</si>
  <si>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</si>
  <si>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</si>
  <si>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</si>
  <si>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</si>
  <si>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</si>
  <si>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</si>
  <si>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</si>
  <si>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</si>
  <si>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</si>
  <si>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</si>
  <si>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</si>
  <si>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</si>
  <si>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</si>
  <si>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</si>
  <si>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</si>
  <si>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</si>
  <si>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</si>
  <si>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</si>
  <si>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</si>
  <si>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</si>
  <si>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</si>
  <si>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</si>
  <si>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</si>
  <si>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</si>
  <si>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</si>
  <si>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</si>
  <si>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</si>
  <si>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</si>
  <si>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</si>
  <si>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</si>
  <si>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</si>
  <si>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</si>
  <si>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</si>
  <si>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</si>
  <si>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</si>
  <si>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</si>
  <si>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</si>
  <si>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</si>
  <si>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</si>
  <si>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</si>
  <si>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</si>
  <si>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</si>
  <si>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</si>
  <si>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</si>
  <si>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</si>
  <si>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</si>
  <si>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</si>
  <si>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</si>
  <si>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</si>
  <si>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</si>
  <si>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</si>
  <si>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</si>
  <si>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</si>
  <si>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</si>
  <si>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</si>
  <si>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</si>
  <si>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</si>
  <si>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</si>
  <si>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</si>
  <si>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</si>
  <si>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</si>
  <si>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</si>
  <si>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</si>
  <si>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</si>
  <si>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</si>
  <si>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</si>
  <si>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</si>
  <si>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</si>
  <si>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</si>
  <si>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</si>
  <si>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</si>
  <si>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</si>
  <si>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</si>
  <si>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</si>
  <si>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</si>
  <si>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</si>
  <si>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</si>
  <si>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</si>
  <si>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</si>
  <si>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</si>
  <si>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</si>
  <si>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</si>
  <si>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</si>
  <si>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</si>
  <si>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</si>
  <si>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</si>
  <si>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</si>
  <si>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</si>
  <si>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</si>
  <si>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</si>
  <si>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</si>
  <si>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</si>
  <si>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</si>
  <si>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</si>
  <si>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</si>
  <si>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</si>
  <si>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</si>
  <si>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</si>
  <si>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</si>
  <si>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</si>
  <si>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</si>
  <si>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</si>
  <si>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</si>
  <si>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</si>
  <si>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</si>
  <si>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</si>
  <si>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</si>
  <si>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</si>
  <si>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</si>
  <si>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</si>
  <si>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</si>
  <si>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</si>
  <si>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</si>
  <si>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</si>
  <si>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</si>
  <si>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</si>
  <si>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</si>
  <si>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</si>
  <si>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</si>
  <si>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</si>
  <si>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</si>
  <si>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</si>
  <si>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</si>
  <si>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</si>
  <si>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</si>
  <si>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</si>
  <si>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</si>
  <si>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</si>
  <si>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</si>
  <si>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</si>
  <si>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</si>
  <si>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</si>
  <si>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</si>
  <si>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</si>
  <si>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</si>
  <si>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</si>
  <si>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</si>
  <si>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</si>
  <si>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</si>
  <si>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</si>
  <si>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</si>
  <si>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</si>
  <si>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</si>
  <si>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</si>
  <si>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</si>
  <si>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</si>
  <si>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</si>
  <si>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</si>
  <si>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</si>
  <si>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</si>
  <si>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</si>
  <si>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</si>
  <si>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</si>
  <si>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</si>
  <si>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</si>
  <si>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</si>
  <si>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</si>
  <si>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</si>
  <si>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</si>
  <si>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</si>
  <si>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</si>
  <si>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</si>
  <si>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</si>
  <si>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</si>
  <si>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</si>
  <si>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</si>
  <si>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</si>
  <si>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</si>
  <si>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</si>
  <si>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</si>
  <si>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</si>
  <si>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</si>
  <si>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</si>
  <si>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</si>
  <si>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</si>
  <si>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</si>
  <si>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</si>
  <si>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</si>
  <si>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</si>
  <si>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</si>
  <si>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</si>
  <si>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</si>
  <si>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</si>
  <si>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</si>
  <si>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</si>
  <si>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</si>
  <si>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</si>
  <si>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</si>
  <si>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</si>
  <si>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</si>
  <si>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</si>
  <si>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</si>
  <si>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</si>
  <si>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</si>
  <si>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</si>
  <si>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</si>
  <si>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</si>
  <si>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</si>
  <si>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</si>
  <si>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</si>
  <si>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</si>
  <si>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</si>
  <si>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</si>
  <si>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</si>
  <si>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</si>
  <si>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</si>
  <si>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</si>
  <si>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</si>
  <si>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</si>
  <si>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</si>
  <si>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</si>
  <si>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</si>
  <si>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</si>
  <si>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</si>
  <si>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</si>
  <si>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</si>
  <si>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</si>
  <si>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</si>
  <si>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</si>
  <si>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</si>
  <si>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</si>
  <si>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</si>
  <si>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</si>
  <si>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</si>
  <si>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</si>
  <si>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</si>
  <si>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</si>
  <si>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</si>
  <si>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</si>
  <si>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</si>
  <si>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</si>
  <si>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</si>
  <si>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</si>
  <si>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</si>
  <si>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</si>
  <si>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</si>
  <si>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</si>
  <si>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</si>
  <si>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</si>
  <si>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</si>
  <si>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</si>
  <si>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</si>
  <si>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</si>
  <si>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</si>
  <si>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</si>
  <si>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</si>
  <si>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</si>
  <si>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</si>
  <si>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</si>
  <si>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</si>
  <si>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</si>
  <si>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</si>
  <si>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</si>
  <si>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</si>
  <si>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</si>
  <si>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</si>
  <si>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</si>
  <si>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</si>
  <si>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</si>
  <si>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</si>
  <si>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</si>
  <si>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</si>
  <si>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</si>
  <si>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</si>
  <si>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</si>
  <si>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</si>
  <si>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</si>
  <si>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</si>
  <si>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</si>
  <si>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</si>
  <si>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</si>
  <si>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</si>
  <si>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</si>
  <si>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</si>
  <si>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</si>
  <si>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</si>
  <si>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</si>
  <si>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</si>
  <si>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</si>
  <si>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</si>
  <si>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</si>
  <si>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</si>
  <si>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</si>
  <si>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</si>
  <si>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</si>
  <si>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</si>
  <si>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</si>
  <si>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</si>
  <si>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</si>
  <si>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</si>
  <si>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</si>
  <si>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</si>
  <si>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</si>
  <si>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</si>
  <si>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</si>
  <si>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</si>
  <si>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</si>
  <si>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</si>
  <si>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</si>
  <si>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</si>
  <si>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</si>
  <si>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</si>
  <si>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</si>
  <si>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</si>
  <si>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</si>
  <si>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</si>
  <si>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</si>
  <si>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</si>
  <si>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</si>
  <si>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</si>
  <si>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</si>
  <si>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</si>
  <si>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</si>
  <si>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</si>
  <si>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</si>
  <si>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</si>
  <si>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</si>
  <si>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</si>
  <si>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</si>
  <si>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</si>
  <si>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</si>
  <si>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</si>
  <si>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</si>
  <si>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</si>
  <si>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</si>
  <si>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</si>
  <si>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</si>
  <si>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</si>
  <si>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</si>
  <si>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</si>
  <si>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</si>
  <si>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</si>
  <si>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</si>
  <si>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</si>
  <si>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</si>
  <si>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</si>
  <si>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</si>
  <si>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</si>
  <si>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</si>
  <si>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</si>
  <si>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</si>
  <si>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</si>
  <si>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</si>
  <si>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</si>
  <si>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</si>
  <si>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</si>
  <si>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</si>
  <si>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</si>
  <si>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</si>
  <si>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</si>
  <si>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</si>
  <si>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</si>
  <si>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</si>
  <si>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</si>
  <si>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</si>
  <si>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</si>
  <si>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</si>
  <si>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</si>
  <si>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</si>
  <si>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</si>
  <si>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</si>
  <si>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</si>
  <si>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</si>
  <si>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</si>
  <si>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</si>
  <si>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</si>
  <si>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</si>
  <si>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</si>
  <si>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</si>
  <si>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</si>
  <si>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</si>
  <si>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</si>
  <si>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</si>
  <si>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</si>
  <si>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</si>
  <si>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</si>
  <si>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</si>
  <si>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</si>
  <si>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</si>
  <si>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</si>
  <si>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</si>
  <si>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</si>
  <si>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</si>
  <si>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</si>
  <si>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</si>
  <si>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</si>
  <si>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</si>
  <si>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</si>
  <si>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</si>
  <si>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</si>
  <si>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</si>
  <si>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</si>
  <si>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</si>
  <si>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</si>
  <si>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</si>
  <si>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</si>
  <si>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</si>
  <si>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</si>
  <si>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</si>
  <si>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</si>
  <si>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</si>
  <si>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</si>
  <si>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</si>
  <si>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</si>
  <si>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</si>
  <si>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</si>
  <si>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</si>
  <si>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</si>
  <si>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</si>
  <si>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</si>
  <si>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</si>
  <si>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</si>
  <si>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</si>
  <si>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</si>
  <si>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</si>
  <si>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</si>
  <si>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</si>
  <si>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</si>
  <si>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</si>
  <si>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</si>
  <si>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</si>
  <si>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</si>
  <si>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</si>
  <si>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</si>
  <si>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</si>
  <si>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</si>
  <si>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</si>
  <si>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</si>
  <si>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</si>
  <si>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</si>
  <si>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</si>
  <si>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</si>
  <si>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</si>
  <si>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</si>
  <si>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</si>
  <si>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</si>
  <si>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</si>
  <si>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</si>
  <si>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</si>
  <si>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</si>
  <si>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</si>
  <si>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</si>
  <si>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</si>
  <si>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</si>
  <si>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</si>
  <si>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</si>
  <si>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</si>
  <si>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</si>
  <si>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</si>
  <si>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</si>
  <si>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</si>
  <si>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</si>
  <si>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</si>
  <si>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</si>
  <si>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</si>
  <si>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</si>
  <si>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</si>
  <si>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</si>
  <si>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</si>
  <si>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</si>
  <si>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</si>
  <si>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</si>
  <si>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</si>
  <si>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</si>
  <si>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</si>
  <si>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</si>
  <si>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</si>
  <si>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</si>
  <si>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</si>
  <si>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</si>
  <si>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</si>
  <si>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</si>
  <si>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</si>
  <si>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</si>
  <si>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</si>
  <si>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</si>
  <si>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</si>
  <si>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</si>
  <si>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</si>
  <si>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</si>
  <si>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</si>
  <si>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</si>
  <si>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</si>
  <si>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</si>
  <si>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</si>
  <si>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</si>
  <si>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</si>
  <si>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</si>
  <si>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</si>
  <si>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</si>
  <si>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</si>
  <si>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</si>
  <si>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</si>
  <si>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</si>
  <si>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</si>
  <si>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</si>
  <si>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</si>
  <si>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</si>
  <si>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</si>
  <si>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</si>
  <si>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</si>
  <si>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</si>
  <si>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</si>
  <si>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</si>
  <si>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</si>
  <si>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</si>
  <si>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</si>
  <si>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</si>
  <si>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</si>
  <si>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</si>
  <si>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</si>
  <si>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</si>
  <si>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</si>
  <si>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</si>
  <si>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</si>
  <si>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</si>
  <si>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</si>
  <si>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</si>
  <si>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</si>
  <si>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</si>
  <si>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</si>
  <si>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</si>
  <si>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</si>
  <si>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</si>
  <si>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</si>
  <si>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</si>
  <si>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</si>
  <si>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</si>
  <si>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</si>
  <si>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</si>
  <si>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</si>
  <si>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</si>
  <si>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</si>
  <si>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</si>
  <si>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</si>
  <si>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</si>
  <si>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</si>
  <si>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</si>
  <si>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</si>
  <si>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</si>
  <si>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</si>
  <si>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</si>
  <si>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</si>
  <si>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</si>
  <si>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</si>
  <si>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</si>
  <si>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</si>
  <si>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</si>
  <si>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</si>
  <si>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</si>
  <si>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</si>
  <si>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</si>
  <si>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</si>
  <si>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</si>
  <si>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</si>
  <si>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</si>
  <si>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</si>
  <si>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</si>
  <si>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</si>
  <si>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</si>
  <si>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</si>
  <si>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</si>
  <si>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</si>
  <si>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</si>
  <si>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</si>
  <si>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</si>
  <si>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</si>
  <si>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</si>
  <si>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</si>
  <si>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</si>
  <si>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</si>
  <si>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</si>
  <si>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</si>
  <si>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</si>
  <si>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</si>
  <si>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</si>
  <si>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</si>
  <si>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</si>
  <si>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</si>
  <si>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</si>
  <si>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</si>
  <si>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</si>
  <si>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</si>
  <si>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</si>
  <si>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</si>
  <si>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</si>
  <si>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</si>
  <si>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</si>
  <si>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</si>
  <si>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</si>
  <si>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</si>
  <si>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</si>
  <si>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</si>
  <si>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</si>
  <si>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</si>
  <si>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</si>
  <si>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</si>
  <si>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</si>
  <si>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</si>
  <si>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</si>
  <si>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</si>
  <si>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</si>
  <si>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</si>
  <si>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</si>
  <si>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</si>
  <si>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</si>
  <si>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</si>
  <si>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</si>
  <si>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</si>
  <si>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</si>
  <si>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</si>
  <si>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</si>
  <si>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</si>
  <si>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</si>
  <si>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</si>
  <si>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</si>
  <si>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</si>
  <si>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</si>
  <si>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</si>
  <si>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</si>
  <si>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</si>
  <si>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</si>
  <si>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</si>
  <si>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</si>
  <si>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</si>
  <si>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</si>
  <si>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</si>
  <si>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</si>
  <si>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</si>
  <si>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</si>
  <si>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</si>
  <si>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</si>
  <si>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</si>
  <si>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</si>
  <si>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</si>
  <si>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</si>
  <si>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</si>
  <si>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</si>
  <si>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</si>
  <si>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</si>
  <si>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</si>
  <si>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</si>
  <si>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</si>
  <si>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</si>
  <si>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</si>
  <si>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</si>
  <si>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</si>
  <si>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</si>
  <si>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</si>
  <si>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</si>
  <si>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</si>
  <si>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</si>
  <si>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</si>
  <si>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</si>
  <si>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</si>
  <si>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</si>
  <si>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</si>
  <si>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</si>
  <si>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</si>
  <si>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</si>
  <si>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</si>
  <si>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</si>
  <si>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</si>
  <si>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</si>
  <si>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</si>
  <si>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</si>
  <si>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</si>
  <si>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</si>
  <si>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</si>
  <si>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</si>
  <si>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</si>
  <si>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</si>
  <si>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</si>
  <si>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</si>
  <si>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</si>
  <si>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</si>
  <si>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</si>
  <si>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</si>
  <si>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</si>
  <si>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</si>
  <si>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</si>
  <si>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</si>
  <si>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</si>
  <si>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</si>
  <si>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</si>
  <si>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</si>
  <si>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</si>
  <si>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</si>
  <si>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</si>
  <si>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</si>
  <si>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</si>
  <si>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</si>
  <si>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</si>
  <si>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</si>
  <si>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</si>
  <si>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</si>
  <si>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</si>
  <si>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</si>
  <si>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</si>
  <si>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</si>
  <si>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</si>
  <si>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</si>
  <si>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</si>
  <si>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</si>
  <si>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</si>
  <si>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</si>
  <si>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</si>
  <si>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</si>
  <si>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</si>
  <si>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</si>
  <si>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</si>
  <si>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</si>
  <si>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</si>
  <si>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</si>
  <si>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</si>
  <si>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</si>
  <si>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</si>
  <si>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</si>
  <si>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</si>
  <si>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</si>
  <si>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</si>
  <si>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</si>
  <si>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</si>
  <si>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</si>
  <si>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</si>
  <si>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</si>
  <si>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</si>
  <si>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</si>
  <si>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</si>
  <si>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</si>
  <si>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</si>
  <si>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</si>
  <si>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</si>
  <si>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</si>
  <si>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</si>
  <si>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</si>
  <si>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</si>
  <si>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</si>
  <si>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</si>
  <si>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</si>
  <si>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</si>
  <si>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</si>
  <si>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</si>
  <si>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</si>
  <si>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</si>
  <si>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</si>
  <si>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</si>
  <si>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</si>
  <si>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</si>
  <si>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</si>
  <si>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</si>
  <si>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</si>
  <si>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</si>
  <si>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</si>
  <si>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</si>
  <si>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</si>
  <si>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</si>
  <si>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</si>
  <si>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</si>
  <si>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</si>
  <si>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</si>
  <si>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</si>
  <si>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</si>
  <si>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</si>
  <si>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</si>
  <si>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</si>
  <si>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</si>
  <si>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</si>
  <si>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</si>
  <si>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</si>
  <si>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</si>
  <si>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</si>
  <si>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</si>
  <si>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</si>
  <si>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</si>
  <si>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</si>
  <si>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</si>
  <si>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</si>
  <si>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</si>
  <si>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</si>
  <si>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</si>
  <si>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</si>
  <si>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</si>
  <si>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</si>
  <si>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</si>
  <si>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</si>
  <si>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</si>
  <si>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</si>
  <si>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</si>
  <si>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</si>
  <si>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</si>
  <si>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</si>
  <si>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</si>
  <si>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</si>
  <si>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</si>
  <si>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</si>
  <si>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</si>
  <si>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</si>
  <si>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</si>
  <si>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</si>
  <si>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</si>
  <si>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</si>
  <si>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</si>
  <si>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</si>
  <si>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</si>
  <si>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</si>
  <si>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</si>
  <si>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</si>
  <si>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</si>
  <si>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</si>
  <si>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</si>
  <si>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</si>
  <si>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</si>
  <si>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</si>
  <si>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</si>
  <si>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</si>
  <si>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</si>
  <si>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</si>
  <si>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</si>
  <si>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</si>
  <si>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</si>
  <si>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</si>
  <si>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</si>
  <si>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</si>
  <si>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</si>
  <si>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</si>
  <si>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</si>
  <si>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</si>
  <si>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</si>
  <si>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</si>
  <si>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</si>
  <si>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</si>
  <si>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</si>
  <si>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</si>
  <si>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</si>
  <si>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</si>
  <si>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</si>
  <si>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</si>
  <si>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</si>
  <si>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</si>
  <si>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</si>
  <si>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</si>
  <si>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</si>
  <si>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</si>
  <si>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</si>
  <si>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</si>
  <si>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</si>
  <si>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</si>
  <si>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</si>
  <si>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</si>
  <si>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</si>
  <si>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</si>
  <si>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</si>
  <si>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</si>
  <si>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</si>
  <si>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</si>
  <si>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</si>
  <si>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</si>
  <si>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</si>
  <si>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</si>
  <si>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</si>
  <si>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</si>
  <si>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</si>
  <si>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</si>
  <si>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</si>
  <si>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</si>
  <si>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</si>
  <si>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</si>
  <si>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</si>
  <si>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</si>
  <si>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</si>
  <si>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</si>
  <si>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</si>
  <si>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</si>
  <si>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</si>
  <si>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</si>
  <si>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</si>
  <si>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</si>
  <si>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</si>
  <si>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</si>
  <si>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</si>
  <si>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</si>
  <si>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</si>
  <si>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</si>
  <si>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</si>
  <si>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</si>
  <si>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</si>
  <si>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</si>
  <si>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</si>
  <si>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</si>
  <si>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</si>
  <si>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</si>
  <si>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</si>
  <si>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</si>
  <si>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</si>
  <si>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</si>
  <si>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</si>
  <si>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</si>
  <si>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</si>
  <si>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</si>
  <si>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</si>
  <si>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</si>
  <si>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</si>
  <si>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</si>
  <si>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</si>
  <si>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</si>
  <si>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</si>
  <si>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</si>
  <si>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</si>
  <si>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</si>
  <si>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</si>
  <si>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</si>
  <si>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</si>
  <si>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</si>
  <si>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</si>
  <si>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</si>
  <si>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</si>
  <si>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</si>
  <si>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</si>
  <si>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</si>
  <si>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</si>
  <si>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</si>
  <si>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</si>
  <si>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</si>
  <si>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</si>
  <si>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</si>
  <si>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</si>
  <si>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</si>
  <si>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</si>
  <si>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</si>
  <si>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</si>
  <si>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</si>
  <si>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</si>
  <si>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</si>
  <si>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</si>
  <si>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</si>
  <si>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</si>
  <si>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</si>
  <si>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</si>
  <si>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</si>
  <si>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</si>
  <si>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</si>
  <si>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</si>
  <si>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</si>
  <si>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</si>
  <si>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</si>
  <si>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</si>
  <si>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</si>
  <si>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</si>
  <si>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</si>
  <si>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</si>
  <si>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</si>
  <si>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</si>
  <si>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</si>
  <si>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</si>
  <si>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</si>
  <si>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</si>
  <si>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</si>
  <si>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</si>
  <si>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</si>
  <si>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</si>
  <si>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</si>
  <si>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</si>
  <si>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</si>
  <si>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</si>
  <si>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</si>
  <si>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</si>
  <si>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</si>
  <si>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</si>
  <si>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</si>
  <si>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</si>
  <si>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</si>
  <si>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</si>
  <si>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</si>
  <si>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</si>
  <si>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</si>
  <si>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</si>
  <si>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</si>
  <si>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</si>
  <si>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</si>
  <si>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</si>
  <si>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</si>
  <si>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</si>
  <si>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</si>
  <si>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</si>
  <si>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</si>
  <si>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</si>
  <si>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</si>
  <si>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</si>
  <si>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</si>
  <si>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</si>
  <si>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</si>
  <si>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</si>
  <si>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</si>
  <si>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</si>
  <si>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</si>
  <si>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</si>
  <si>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</si>
  <si>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</si>
  <si>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</si>
  <si>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</si>
  <si>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</si>
  <si>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</si>
  <si>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</si>
  <si>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</si>
  <si>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</si>
  <si>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</si>
  <si>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</si>
  <si>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</si>
  <si>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</si>
  <si>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</si>
  <si>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</si>
  <si>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</si>
  <si>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</si>
  <si>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</si>
  <si>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</si>
  <si>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</si>
  <si>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</si>
  <si>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</si>
  <si>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</si>
  <si>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</si>
  <si>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</si>
  <si>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</si>
  <si>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</si>
  <si>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</si>
  <si>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</si>
  <si>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</si>
  <si>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</si>
  <si>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</si>
  <si>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</si>
  <si>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</si>
  <si>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</si>
  <si>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</si>
  <si>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</si>
  <si>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</si>
  <si>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</si>
  <si>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</si>
  <si>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</si>
  <si>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</si>
  <si>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</si>
  <si>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</si>
  <si>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</si>
  <si>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</si>
  <si>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</si>
  <si>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</si>
  <si>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</si>
  <si>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</si>
  <si>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</si>
  <si>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</si>
  <si>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</si>
  <si>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</si>
  <si>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</si>
  <si>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</si>
  <si>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</si>
  <si>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</si>
  <si>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</si>
  <si>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</si>
  <si>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</si>
  <si>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</si>
  <si>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</si>
  <si>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</si>
  <si>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</si>
  <si>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</si>
  <si>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</si>
  <si>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</si>
  <si>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</si>
  <si>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</si>
  <si>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</si>
  <si>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</si>
  <si>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</si>
  <si>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</si>
  <si>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</si>
  <si>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</si>
  <si>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</si>
  <si>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</si>
  <si>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</si>
  <si>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</si>
  <si>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</si>
  <si>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</si>
  <si>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</si>
  <si>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</si>
  <si>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</si>
  <si>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</si>
  <si>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</si>
  <si>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</si>
  <si>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</si>
  <si>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</si>
  <si>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</si>
  <si>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</si>
  <si>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</si>
  <si>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</si>
  <si>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</si>
  <si>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</si>
  <si>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</si>
  <si>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</si>
  <si>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</si>
  <si>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</si>
  <si>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</si>
  <si>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</si>
  <si>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</si>
  <si>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</si>
  <si>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</si>
  <si>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</si>
  <si>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</si>
  <si>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</si>
  <si>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</si>
  <si>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</si>
  <si>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</si>
  <si>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</si>
  <si>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</si>
  <si>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</si>
  <si>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</si>
  <si>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</si>
  <si>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</si>
  <si>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</si>
  <si>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</si>
  <si>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</si>
  <si>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</si>
  <si>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</si>
  <si>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</si>
  <si>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</si>
  <si>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</si>
  <si>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</si>
  <si>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</si>
  <si>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</si>
  <si>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</si>
  <si>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</si>
  <si>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</si>
  <si>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</si>
  <si>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</si>
  <si>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</si>
  <si>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</si>
  <si>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</si>
  <si>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</si>
  <si>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</si>
  <si>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</si>
  <si>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</si>
  <si>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</si>
  <si>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</si>
  <si>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</si>
  <si>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</si>
  <si>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</si>
  <si>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</si>
  <si>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</si>
  <si>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</si>
  <si>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</si>
  <si>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</si>
  <si>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</si>
  <si>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</si>
  <si>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</si>
  <si>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</si>
  <si>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</si>
  <si>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</si>
  <si>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</si>
  <si>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</si>
  <si>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</si>
  <si>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</si>
  <si>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</si>
  <si>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</si>
  <si>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</si>
  <si>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</si>
  <si>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</si>
  <si>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</si>
  <si>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</si>
  <si>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</si>
  <si>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</si>
  <si>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</si>
  <si>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</si>
  <si>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</si>
  <si>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</si>
  <si>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</si>
  <si>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</si>
  <si>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</si>
  <si>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</si>
  <si>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</si>
  <si>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</si>
  <si>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</si>
  <si>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</si>
  <si>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</si>
  <si>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</si>
  <si>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</si>
  <si>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</si>
  <si>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</si>
  <si>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</si>
  <si>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</si>
  <si>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</si>
  <si>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</si>
  <si>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</si>
  <si>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</si>
  <si>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</si>
  <si>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</si>
  <si>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</si>
  <si>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</si>
  <si>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</si>
  <si>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</si>
  <si>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</si>
  <si>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</si>
  <si>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</si>
  <si>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</si>
  <si>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</si>
  <si>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</si>
  <si>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</si>
  <si>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</si>
  <si>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</si>
  <si>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</si>
  <si>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</si>
  <si>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</si>
  <si>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</si>
  <si>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</si>
  <si>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</si>
  <si>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</si>
  <si>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</si>
  <si>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</si>
  <si>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</si>
  <si>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</si>
  <si>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</si>
  <si>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</si>
  <si>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</si>
  <si>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</si>
  <si>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</si>
  <si>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</si>
  <si>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</si>
  <si>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</si>
  <si>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</si>
  <si>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</si>
  <si>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</si>
  <si>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</si>
  <si>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</si>
  <si>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</si>
  <si>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</si>
  <si>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</si>
  <si>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</si>
  <si>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</si>
  <si>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</si>
  <si>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</si>
  <si>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</si>
  <si>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</si>
  <si>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</si>
  <si>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</si>
  <si>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</si>
  <si>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</si>
  <si>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</si>
  <si>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</si>
  <si>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</si>
  <si>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</si>
  <si>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</si>
  <si>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</si>
  <si>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</si>
  <si>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</si>
  <si>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</si>
  <si>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</si>
  <si>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</si>
  <si>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</si>
  <si>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</si>
  <si>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</si>
  <si>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</si>
  <si>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</si>
  <si>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</si>
  <si>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</si>
  <si>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</si>
  <si>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</si>
  <si>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</si>
  <si>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</si>
  <si>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</si>
  <si>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</si>
  <si>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</si>
  <si>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</si>
  <si>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</si>
  <si>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</si>
  <si>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</si>
  <si>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</si>
  <si>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</si>
  <si>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</si>
  <si>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</si>
  <si>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</si>
  <si>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</si>
  <si>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</si>
  <si>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</si>
  <si>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</si>
  <si>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</si>
  <si>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</si>
  <si>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</si>
  <si>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</si>
  <si>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</si>
  <si>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</si>
  <si>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</si>
  <si>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</si>
  <si>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</si>
  <si>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</si>
  <si>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</si>
  <si>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</si>
  <si>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</si>
  <si>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</si>
  <si>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</si>
  <si>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</si>
  <si>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</si>
  <si>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</si>
  <si>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</si>
  <si>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</si>
  <si>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</si>
  <si>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</si>
  <si>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</si>
  <si>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</si>
  <si>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</si>
  <si>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</si>
  <si>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</si>
  <si>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</si>
  <si>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</si>
  <si>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</si>
  <si>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</si>
  <si>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</si>
  <si>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</si>
  <si>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</si>
  <si>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</si>
  <si>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</si>
  <si>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</si>
  <si>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</si>
  <si>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</si>
  <si>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</si>
  <si>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</si>
  <si>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</si>
  <si>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</si>
  <si>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</si>
  <si>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</si>
  <si>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</si>
  <si>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</si>
  <si>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</si>
  <si>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</si>
  <si>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</si>
  <si>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</si>
  <si>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</si>
  <si>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</si>
  <si>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</si>
  <si>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</si>
  <si>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</si>
  <si>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</si>
  <si>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</si>
  <si>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</si>
  <si>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</si>
  <si>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</si>
  <si>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</si>
  <si>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</si>
  <si>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</si>
  <si>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</si>
  <si>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</si>
  <si>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</si>
  <si>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</si>
  <si>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</si>
  <si>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</si>
  <si>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</si>
  <si>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</si>
  <si>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</si>
  <si>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</si>
  <si>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</si>
  <si>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</si>
  <si>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</si>
  <si>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</si>
  <si>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</si>
  <si>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</si>
  <si>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</si>
  <si>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</si>
  <si>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</si>
  <si>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</si>
  <si>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</si>
  <si>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</si>
  <si>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</si>
  <si>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</si>
  <si>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</si>
  <si>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</si>
  <si>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</si>
  <si>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</si>
  <si>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</si>
  <si>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</si>
  <si>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</si>
  <si>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</si>
  <si>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</si>
  <si>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</si>
  <si>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</si>
  <si>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</si>
  <si>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</si>
  <si>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</si>
  <si>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</si>
  <si>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</si>
  <si>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</si>
  <si>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</si>
  <si>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</si>
  <si>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</si>
  <si>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</si>
  <si>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</si>
  <si>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</si>
  <si>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</si>
  <si>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</si>
  <si>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</si>
  <si>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</si>
  <si>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</si>
  <si>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</si>
  <si>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</si>
  <si>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</si>
  <si>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</si>
  <si>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</si>
  <si>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</si>
  <si>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</si>
  <si>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</si>
  <si>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</si>
  <si>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</si>
  <si>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</si>
  <si>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</si>
  <si>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</si>
  <si>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</si>
  <si>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</si>
  <si>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</si>
  <si>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</si>
  <si>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</si>
  <si>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</si>
  <si>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</si>
  <si>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</si>
  <si>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</si>
  <si>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</si>
  <si>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</si>
  <si>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</si>
  <si>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</si>
  <si>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</si>
  <si>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</si>
  <si>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</si>
  <si>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</si>
  <si>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</si>
  <si>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</si>
  <si>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</si>
  <si>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</si>
  <si>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</si>
  <si>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</si>
  <si>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</si>
  <si>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</si>
  <si>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</si>
  <si>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</si>
  <si>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</si>
  <si>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</si>
  <si>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</si>
  <si>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</si>
  <si>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</si>
  <si>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</si>
  <si>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</si>
  <si>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</si>
  <si>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</si>
  <si>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</si>
  <si>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</si>
  <si>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</si>
  <si>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</si>
  <si>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</si>
  <si>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</si>
  <si>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</si>
  <si>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</si>
  <si>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</si>
  <si>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</si>
  <si>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</si>
  <si>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</si>
  <si>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</si>
  <si>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</si>
  <si>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</si>
  <si>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</si>
  <si>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</si>
  <si>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</si>
  <si>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</si>
  <si>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</si>
  <si>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</si>
  <si>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</si>
  <si>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</si>
  <si>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</si>
  <si>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</si>
  <si>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</si>
  <si>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</si>
  <si>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</si>
  <si>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</si>
  <si>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</si>
  <si>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</si>
  <si>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</si>
  <si>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</si>
  <si>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</si>
  <si>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</si>
  <si>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</si>
  <si>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</si>
  <si>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</si>
  <si>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</si>
  <si>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</si>
  <si>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</si>
  <si>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</si>
  <si>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</si>
  <si>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</si>
  <si>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</si>
  <si>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</si>
  <si>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</si>
  <si>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</si>
  <si>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</si>
  <si>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</si>
  <si>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</si>
  <si>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</si>
  <si>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</si>
  <si>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</si>
  <si>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</si>
  <si>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</si>
  <si>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</si>
  <si>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</si>
  <si>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</si>
  <si>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</si>
  <si>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</si>
  <si>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</si>
  <si>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</si>
  <si>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</si>
  <si>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</si>
  <si>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</si>
  <si>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</si>
  <si>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</si>
  <si>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</si>
  <si>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</si>
  <si>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</si>
  <si>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</si>
  <si>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</si>
  <si>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</si>
  <si>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</si>
  <si>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</si>
  <si>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</si>
  <si>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</si>
  <si>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</si>
  <si>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</si>
  <si>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</si>
  <si>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</si>
  <si>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</si>
  <si>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</si>
  <si>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</si>
  <si>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</si>
  <si>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</si>
  <si>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</si>
  <si>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</si>
  <si>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</si>
  <si>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</si>
  <si>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</si>
  <si>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</si>
  <si>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</si>
  <si>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</si>
  <si>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</si>
  <si>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</si>
  <si>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</si>
  <si>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</si>
  <si>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</si>
  <si>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</si>
  <si>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</si>
  <si>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</si>
  <si>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</si>
  <si>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</si>
  <si>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</si>
  <si>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</si>
  <si>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</si>
  <si>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</si>
  <si>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</si>
  <si>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</si>
  <si>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</si>
  <si>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</si>
  <si>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</si>
  <si>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</si>
  <si>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</si>
  <si>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</si>
  <si>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</si>
  <si>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</si>
  <si>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</si>
  <si>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</si>
  <si>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</si>
  <si>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</si>
  <si>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</si>
  <si>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</si>
  <si>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</si>
  <si>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</si>
  <si>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</si>
  <si>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</si>
  <si>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</si>
  <si>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</si>
  <si>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</si>
  <si>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</si>
  <si>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</si>
  <si>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</si>
  <si>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</si>
  <si>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</si>
  <si>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</si>
  <si>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</si>
  <si>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</si>
  <si>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</si>
  <si>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</si>
  <si>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</si>
  <si>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</si>
  <si>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</si>
  <si>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</si>
  <si>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</si>
  <si>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</si>
  <si>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</si>
  <si>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</si>
  <si>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</si>
  <si>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</si>
  <si>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</si>
  <si>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</si>
  <si>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</si>
  <si>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</si>
  <si>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</si>
  <si>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</si>
  <si>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</si>
  <si>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</si>
  <si>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</si>
  <si>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</si>
  <si>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</si>
  <si>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</si>
  <si>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</si>
  <si>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</si>
  <si>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</si>
  <si>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</si>
  <si>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</si>
  <si>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</si>
  <si>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</si>
  <si>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</si>
  <si>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</si>
  <si>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</si>
  <si>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</si>
  <si>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</si>
  <si>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</si>
  <si>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</si>
  <si>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</si>
  <si>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</si>
  <si>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</si>
  <si>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</si>
  <si>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</si>
  <si>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</si>
  <si>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</si>
  <si>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</si>
  <si>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</si>
  <si>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</si>
  <si>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</si>
  <si>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</si>
  <si>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</si>
  <si>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</si>
  <si>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</si>
  <si>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</si>
  <si>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</si>
  <si>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</si>
  <si>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</si>
  <si>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</si>
  <si>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</si>
  <si>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</si>
  <si>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</si>
  <si>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</si>
  <si>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</si>
  <si>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</si>
  <si>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</si>
  <si>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</si>
  <si>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</si>
  <si>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</si>
  <si>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</si>
  <si>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</si>
  <si>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</si>
  <si>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</si>
  <si>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</si>
  <si>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</si>
  <si>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</si>
  <si>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</si>
  <si>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</si>
  <si>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</si>
  <si>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</si>
  <si>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</si>
  <si>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</si>
  <si>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</si>
  <si>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</si>
  <si>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</si>
  <si>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</si>
  <si>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</si>
  <si>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</si>
  <si>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</si>
  <si>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</si>
  <si>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</si>
  <si>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</si>
  <si>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</si>
  <si>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</si>
  <si>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</si>
  <si>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</si>
  <si>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</si>
  <si>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</si>
  <si>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</si>
  <si>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</si>
  <si>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</si>
  <si>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</si>
  <si>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</si>
  <si>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</si>
  <si>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</si>
  <si>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</si>
  <si>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</si>
  <si>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</si>
  <si>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</si>
  <si>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</si>
  <si>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</si>
  <si>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</si>
  <si>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</si>
  <si>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</si>
  <si>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</si>
  <si>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</si>
  <si>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</si>
  <si>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</si>
  <si>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</si>
  <si>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</si>
  <si>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</si>
  <si>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</si>
  <si>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</si>
  <si>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</si>
  <si>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</si>
  <si>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</si>
  <si>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</si>
  <si>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</si>
  <si>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</si>
  <si>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</si>
  <si>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</si>
  <si>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</si>
  <si>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</si>
  <si>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</si>
  <si>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</si>
  <si>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</si>
  <si>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</si>
  <si>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</si>
  <si>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</si>
  <si>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</si>
  <si>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</si>
  <si>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</si>
  <si>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</si>
  <si>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</si>
  <si>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</si>
  <si>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</si>
  <si>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</si>
  <si>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</si>
  <si>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</si>
  <si>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</si>
  <si>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</si>
  <si>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</si>
  <si>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</si>
  <si>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</si>
  <si>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</si>
  <si>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</si>
  <si>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</si>
  <si>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</si>
  <si>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</si>
  <si>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</si>
  <si>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</si>
  <si>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</si>
  <si>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</si>
  <si>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</si>
  <si>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</si>
  <si>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</si>
  <si>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</si>
  <si>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</si>
  <si>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</si>
  <si>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</si>
  <si>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</si>
  <si>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</si>
  <si>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</si>
  <si>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</si>
  <si>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</si>
  <si>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</si>
  <si>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</si>
  <si>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</si>
  <si>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</si>
  <si>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</si>
  <si>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</si>
  <si>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</si>
  <si>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</si>
  <si>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</si>
  <si>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</si>
  <si>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</si>
  <si>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</si>
  <si>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</si>
  <si>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</si>
  <si>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</si>
  <si>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</si>
  <si>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</si>
  <si>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</si>
  <si>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</si>
  <si>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</si>
  <si>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</si>
  <si>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</si>
  <si>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</si>
  <si>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</si>
  <si>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</si>
  <si>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</si>
  <si>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</si>
  <si>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</si>
  <si>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</si>
  <si>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</si>
  <si>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</si>
  <si>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</si>
  <si>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</si>
  <si>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</si>
  <si>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</si>
  <si>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</si>
  <si>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</si>
  <si>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</si>
  <si>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</si>
  <si>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</si>
  <si>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</si>
  <si>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</si>
  <si>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</si>
  <si>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</si>
  <si>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</si>
  <si>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</si>
  <si>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</si>
  <si>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</si>
  <si>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</si>
  <si>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</si>
  <si>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</si>
  <si>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</si>
  <si>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</si>
  <si>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</si>
  <si>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</si>
  <si>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</si>
  <si>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</si>
  <si>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</si>
  <si>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</si>
  <si>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</si>
  <si>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</si>
  <si>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</si>
  <si>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</si>
  <si>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</si>
  <si>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</si>
  <si>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</si>
  <si>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</si>
  <si>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</si>
  <si>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</si>
  <si>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</si>
  <si>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</si>
  <si>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</si>
  <si>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</si>
  <si>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</si>
  <si>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</si>
  <si>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</si>
  <si>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</si>
  <si>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</si>
  <si>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</si>
  <si>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</si>
  <si>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</si>
  <si>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</si>
  <si>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</si>
  <si>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</si>
  <si>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</si>
  <si>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</si>
  <si>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</si>
  <si>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</si>
  <si>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</si>
  <si>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</si>
  <si>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</si>
  <si>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</si>
  <si>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</si>
  <si>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</si>
  <si>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</si>
  <si>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</si>
  <si>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</si>
  <si>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</si>
  <si>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</si>
  <si>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</si>
  <si>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</si>
  <si>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</si>
  <si>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</si>
  <si>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</si>
  <si>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</si>
  <si>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</si>
  <si>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</si>
  <si>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</si>
  <si>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</si>
  <si>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</si>
  <si>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</si>
  <si>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</si>
  <si>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</si>
  <si>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</si>
  <si>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</si>
  <si>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</si>
  <si>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</si>
  <si>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</si>
  <si>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</si>
  <si>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</si>
  <si>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</si>
  <si>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</si>
  <si>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</si>
  <si>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</si>
  <si>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</si>
  <si>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</si>
  <si>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</si>
  <si>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</si>
  <si>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</si>
  <si>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</si>
  <si>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</si>
  <si>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</si>
  <si>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</si>
  <si>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</si>
  <si>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</si>
  <si>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</si>
  <si>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</si>
  <si>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</si>
  <si>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</si>
  <si>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</si>
  <si>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</si>
  <si>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</si>
  <si>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</si>
  <si>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</si>
  <si>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</si>
  <si>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</si>
  <si>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</si>
  <si>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</si>
  <si>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</si>
  <si>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</si>
  <si>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</si>
  <si>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</si>
  <si>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</si>
  <si>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</si>
  <si>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</si>
  <si>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</si>
  <si>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</si>
  <si>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</si>
  <si>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</si>
  <si>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</si>
  <si>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</si>
  <si>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</si>
  <si>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</si>
  <si>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</si>
  <si>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</si>
  <si>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</si>
  <si>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</si>
  <si>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</si>
  <si>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</si>
  <si>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</si>
  <si>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</si>
  <si>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</si>
  <si>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</si>
  <si>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</si>
  <si>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</si>
  <si>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</si>
  <si>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</si>
  <si>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</si>
  <si>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</si>
  <si>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</si>
  <si>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</si>
  <si>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</si>
  <si>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</si>
  <si>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</si>
  <si>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</si>
  <si>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</si>
  <si>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</si>
  <si>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</si>
  <si>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</si>
  <si>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</si>
  <si>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</si>
  <si>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</si>
  <si>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</si>
  <si>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</si>
  <si>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</si>
  <si>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</si>
  <si>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</si>
  <si>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</si>
  <si>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</si>
  <si>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</si>
  <si>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</si>
  <si>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</si>
  <si>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</si>
  <si>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</si>
  <si>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</si>
  <si>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</si>
  <si>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</si>
  <si>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</si>
  <si>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</si>
  <si>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</si>
  <si>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</si>
  <si>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</si>
  <si>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</si>
  <si>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</si>
  <si>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</si>
  <si>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</si>
  <si>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</si>
  <si>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</si>
  <si>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</si>
  <si>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</si>
  <si>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</si>
  <si>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</si>
  <si>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</si>
  <si>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</si>
  <si>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</si>
  <si>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</si>
  <si>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</si>
  <si>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</si>
  <si>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</si>
  <si>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</si>
  <si>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</si>
  <si>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</si>
  <si>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</si>
  <si>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</si>
  <si>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</si>
  <si>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</si>
  <si>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</si>
  <si>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</si>
  <si>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</si>
  <si>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</si>
  <si>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</si>
  <si>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</si>
  <si>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</si>
  <si>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</si>
  <si>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</si>
  <si>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</si>
  <si>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</si>
  <si>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</si>
  <si>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</si>
  <si>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</si>
  <si>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</si>
  <si>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</si>
  <si>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</si>
  <si>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</si>
  <si>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</si>
  <si>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</si>
  <si>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</si>
  <si>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</si>
  <si>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</si>
  <si>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</si>
  <si>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</si>
  <si>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</si>
  <si>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</si>
  <si>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</si>
  <si>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</si>
  <si>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</si>
  <si>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</si>
  <si>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</si>
  <si>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</si>
  <si>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</si>
  <si>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</si>
  <si>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</si>
  <si>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</si>
  <si>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</si>
  <si>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</si>
  <si>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</si>
  <si>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</si>
  <si>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</si>
  <si>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</si>
  <si>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</si>
  <si>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</si>
  <si>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</si>
  <si>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</si>
  <si>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</si>
  <si>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</si>
  <si>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</si>
  <si>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</si>
  <si>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</si>
  <si>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</si>
  <si>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</si>
  <si>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</si>
  <si>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</si>
  <si>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</si>
  <si>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</si>
  <si>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</si>
  <si>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</si>
  <si>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</si>
  <si>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</si>
  <si>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</si>
  <si>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</si>
  <si>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</si>
  <si>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</si>
  <si>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</si>
  <si>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</si>
  <si>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</si>
  <si>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</si>
  <si>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</si>
  <si>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</si>
  <si>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</si>
  <si>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</si>
  <si>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</si>
  <si>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</si>
  <si>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</si>
  <si>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</si>
  <si>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</si>
  <si>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</si>
  <si>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</si>
  <si>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</si>
  <si>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</si>
  <si>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</si>
  <si>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</si>
  <si>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</si>
  <si>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</si>
  <si>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</si>
  <si>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</si>
  <si>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</si>
  <si>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</si>
  <si>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</si>
  <si>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</si>
  <si>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</si>
  <si>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</si>
  <si>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</si>
  <si>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</si>
  <si>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</si>
  <si>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</si>
  <si>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</si>
  <si>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</si>
  <si>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</si>
  <si>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</si>
  <si>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</si>
  <si>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</si>
  <si>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</si>
  <si>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</si>
  <si>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</si>
  <si>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</si>
  <si>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</si>
  <si>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</si>
  <si>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</si>
  <si>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</si>
  <si>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</si>
  <si>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</si>
  <si>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</si>
  <si>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</si>
  <si>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</si>
  <si>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</si>
  <si>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</si>
  <si>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</si>
  <si>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</si>
  <si>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</si>
  <si>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</si>
  <si>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</si>
  <si>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</si>
  <si>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</si>
  <si>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</si>
  <si>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</si>
  <si>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</si>
  <si>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</si>
  <si>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</si>
  <si>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</si>
  <si>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</si>
  <si>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</si>
  <si>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</si>
  <si>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</si>
  <si>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</si>
  <si>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</si>
  <si>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</si>
  <si>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</si>
  <si>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</si>
  <si>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</si>
  <si>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</si>
  <si>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</si>
  <si>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</si>
  <si>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</si>
  <si>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</si>
  <si>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</si>
  <si>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</si>
  <si>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</si>
  <si>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</si>
  <si>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</si>
  <si>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</si>
  <si>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</si>
  <si>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</si>
  <si>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</si>
  <si>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</si>
  <si>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</si>
  <si>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</si>
  <si>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</si>
  <si>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</si>
  <si>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</si>
  <si>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</si>
  <si>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</si>
  <si>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</si>
  <si>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</si>
  <si>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</si>
  <si>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</si>
  <si>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</si>
  <si>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</si>
  <si>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</si>
  <si>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</si>
  <si>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</si>
  <si>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</si>
  <si>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</si>
  <si>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</si>
  <si>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</si>
  <si>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</si>
  <si>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</si>
  <si>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</si>
  <si>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</si>
  <si>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</si>
  <si>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</si>
  <si>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</si>
  <si>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</si>
  <si>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</si>
  <si>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</si>
  <si>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</si>
  <si>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</si>
  <si>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</si>
  <si>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</si>
  <si>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</si>
  <si>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</si>
  <si>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</si>
  <si>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</si>
  <si>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</si>
  <si>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</si>
  <si>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</si>
  <si>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</si>
  <si>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</si>
  <si>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</si>
  <si>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</si>
  <si>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</si>
  <si>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</si>
  <si>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</si>
  <si>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</si>
  <si>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</si>
  <si>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</si>
  <si>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</si>
  <si>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</si>
  <si>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</si>
  <si>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</si>
  <si>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</si>
  <si>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</si>
  <si>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</si>
  <si>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</si>
  <si>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</si>
  <si>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</si>
  <si>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</si>
  <si>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</si>
  <si>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</si>
  <si>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</si>
  <si>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</si>
  <si>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</si>
  <si>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</si>
  <si>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</si>
  <si>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</si>
  <si>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</si>
  <si>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</si>
  <si>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</si>
  <si>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</si>
  <si>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</si>
  <si>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</si>
  <si>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</si>
  <si>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</si>
  <si>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</si>
  <si>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</si>
  <si>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</si>
  <si>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</si>
  <si>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</si>
  <si>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</si>
  <si>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</si>
  <si>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</si>
  <si>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</si>
  <si>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</si>
  <si>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</si>
  <si>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</si>
  <si>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</si>
  <si>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</si>
  <si>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</si>
  <si>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</si>
  <si>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</si>
  <si>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</si>
  <si>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</si>
  <si>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</si>
  <si>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</si>
  <si>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</si>
  <si>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</si>
  <si>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</si>
  <si>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</si>
  <si>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</si>
  <si>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</si>
  <si>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</si>
  <si>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</si>
  <si>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</si>
  <si>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</si>
  <si>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</si>
  <si>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</si>
  <si>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</si>
  <si>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</si>
  <si>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</si>
  <si>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</si>
  <si>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</si>
  <si>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</si>
  <si>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</si>
  <si>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</si>
  <si>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</si>
  <si>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</si>
  <si>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</si>
  <si>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</si>
  <si>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</si>
  <si>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</si>
  <si>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</si>
  <si>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</si>
  <si>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</si>
  <si>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</si>
  <si>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</si>
  <si>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</si>
  <si>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</si>
  <si>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</si>
  <si>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</si>
  <si>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</si>
  <si>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</si>
  <si>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</si>
  <si>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</si>
  <si>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</si>
  <si>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</si>
  <si>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</si>
  <si>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</si>
  <si>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</si>
  <si>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</si>
  <si>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</si>
  <si>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</si>
  <si>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</si>
  <si>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</si>
  <si>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</si>
  <si>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</si>
  <si>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</si>
  <si>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</si>
  <si>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</si>
  <si>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</si>
  <si>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</si>
  <si>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</si>
  <si>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</si>
  <si>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</si>
  <si>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</si>
  <si>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</si>
  <si>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</si>
  <si>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</si>
  <si>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</si>
  <si>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</si>
  <si>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</si>
  <si>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</si>
  <si>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</si>
  <si>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</si>
  <si>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</si>
  <si>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</si>
  <si>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</si>
  <si>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</si>
  <si>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</si>
  <si>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</si>
  <si>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</si>
  <si>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</si>
  <si>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</si>
  <si>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</si>
  <si>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</si>
  <si>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</si>
  <si>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</si>
  <si>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</si>
  <si>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</si>
  <si>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</si>
  <si>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</si>
  <si>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</si>
  <si>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</si>
  <si>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</si>
  <si>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</si>
  <si>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</si>
  <si>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</si>
  <si>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</si>
  <si>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</si>
  <si>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</si>
  <si>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</si>
  <si>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</si>
  <si>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</si>
  <si>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</si>
  <si>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</si>
  <si>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</si>
  <si>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</si>
  <si>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</si>
  <si>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</si>
  <si>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</si>
  <si>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</si>
  <si>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</si>
  <si>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</si>
  <si>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</si>
  <si>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</si>
  <si>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</si>
  <si>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</si>
  <si>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</si>
  <si>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</si>
  <si>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</si>
  <si>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</si>
  <si>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</si>
  <si>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</si>
  <si>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</si>
  <si>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</si>
  <si>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</si>
  <si>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</si>
  <si>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</si>
  <si>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</si>
  <si>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</si>
  <si>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</si>
  <si>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</si>
  <si>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</si>
  <si>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</si>
  <si>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</si>
  <si>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</si>
  <si>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</si>
  <si>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</si>
  <si>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</si>
  <si>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</si>
  <si>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</si>
  <si>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</si>
  <si>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</si>
  <si>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</si>
  <si>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</si>
  <si>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</si>
  <si>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</si>
  <si>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</si>
  <si>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</si>
  <si>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</si>
  <si>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</si>
  <si>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</si>
  <si>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</si>
  <si>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</si>
  <si>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</si>
  <si>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</si>
  <si>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</si>
  <si>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</si>
  <si>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</si>
  <si>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</si>
  <si>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</si>
  <si>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</si>
  <si>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</si>
  <si>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</si>
  <si>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</si>
  <si>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</si>
  <si>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</si>
  <si>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</si>
  <si>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</si>
  <si>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</si>
  <si>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</si>
  <si>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</si>
  <si>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</si>
  <si>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</si>
  <si>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</si>
  <si>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</si>
  <si>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</si>
  <si>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</si>
  <si>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</si>
  <si>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</si>
  <si>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</si>
  <si>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</si>
  <si>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</si>
  <si>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</si>
  <si>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</si>
  <si>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</si>
  <si>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</si>
  <si>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</si>
  <si>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</si>
  <si>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</si>
  <si>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</si>
  <si>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</si>
  <si>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</si>
  <si>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</si>
  <si>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</si>
  <si>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</si>
  <si>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</si>
  <si>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</si>
  <si>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</si>
  <si>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</si>
  <si>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</si>
  <si>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</si>
  <si>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</si>
  <si>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</si>
  <si>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</si>
  <si>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</si>
  <si>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</si>
  <si>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</si>
  <si>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</si>
  <si>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</si>
  <si>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</si>
  <si>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</si>
  <si>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</si>
  <si>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</si>
  <si>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</si>
  <si>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</si>
  <si>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</si>
  <si>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</si>
  <si>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</si>
  <si>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</si>
  <si>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</si>
  <si>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</si>
  <si>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</si>
  <si>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</si>
  <si>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</si>
  <si>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</si>
  <si>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</si>
  <si>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</si>
  <si>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</si>
  <si>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</si>
  <si>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</si>
  <si>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</si>
  <si>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</si>
  <si>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</si>
  <si>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</si>
  <si>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</si>
  <si>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</si>
  <si>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</si>
  <si>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</si>
  <si>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</si>
  <si>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</si>
  <si>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</si>
  <si>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</si>
  <si>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</si>
  <si>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</si>
  <si>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</si>
  <si>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</si>
  <si>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</si>
  <si>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</si>
  <si>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</si>
  <si>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</si>
  <si>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</si>
  <si>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</si>
  <si>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</si>
  <si>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</si>
  <si>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</si>
  <si>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</si>
  <si>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</si>
  <si>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</si>
  <si>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</si>
  <si>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</si>
  <si>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</si>
  <si>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</si>
  <si>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</si>
  <si>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</si>
  <si>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</si>
  <si>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</si>
  <si>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</si>
  <si>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</si>
  <si>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</si>
  <si>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</si>
  <si>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</si>
  <si>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</si>
  <si>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</si>
  <si>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</si>
  <si>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</si>
  <si>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</si>
  <si>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</si>
  <si>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</si>
  <si>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</si>
  <si>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</si>
  <si>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</si>
  <si>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</si>
  <si>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</si>
  <si>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</si>
  <si>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</si>
  <si>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</si>
  <si>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</si>
  <si>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</si>
  <si>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</si>
  <si>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</si>
  <si>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</si>
  <si>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</si>
  <si>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</si>
  <si>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</si>
  <si>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</si>
  <si>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</si>
  <si>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</si>
  <si>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</si>
  <si>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</si>
  <si>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</si>
  <si>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</si>
  <si>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</si>
  <si>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</si>
  <si>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</si>
  <si>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</si>
  <si>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</si>
  <si>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</si>
  <si>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</si>
  <si>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</si>
  <si>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</si>
  <si>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</si>
  <si>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</si>
  <si>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</si>
  <si>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</si>
  <si>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</si>
  <si>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</si>
  <si>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</si>
  <si>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</si>
  <si>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</si>
  <si>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</si>
  <si>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</si>
  <si>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</si>
  <si>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</si>
  <si>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</si>
  <si>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</si>
  <si>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</si>
  <si>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</si>
  <si>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</si>
  <si>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</si>
  <si>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</si>
  <si>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</si>
  <si>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</si>
  <si>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</si>
  <si>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</si>
  <si>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</si>
  <si>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</si>
  <si>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</si>
  <si>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</si>
  <si>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</si>
  <si>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</si>
  <si>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</si>
  <si>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</si>
  <si>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</si>
  <si>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</si>
  <si>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</si>
  <si>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</si>
  <si>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</si>
  <si>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</si>
  <si>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</si>
  <si>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</si>
  <si>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</si>
  <si>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</si>
  <si>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</si>
  <si>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</si>
  <si>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</si>
  <si>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</si>
  <si>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</si>
  <si>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</si>
  <si>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</si>
  <si>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</si>
  <si>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</si>
  <si>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</si>
  <si>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</si>
  <si>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</si>
  <si>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</si>
  <si>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</si>
  <si>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</si>
  <si>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</si>
  <si>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</si>
  <si>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</si>
  <si>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</si>
  <si>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</si>
  <si>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</si>
  <si>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</si>
  <si>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</si>
  <si>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</si>
  <si>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</si>
  <si>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</si>
  <si>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</si>
  <si>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</si>
  <si>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</si>
  <si>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</si>
  <si>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</si>
  <si>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</si>
  <si>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</si>
  <si>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</si>
  <si>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</si>
  <si>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</si>
  <si>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</si>
  <si>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</si>
  <si>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</si>
  <si>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</si>
  <si>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</si>
  <si>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</si>
  <si>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</si>
  <si>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</si>
  <si>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</si>
  <si>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</si>
  <si>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</si>
  <si>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</si>
  <si>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</si>
  <si>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</si>
  <si>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</si>
  <si>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</si>
  <si>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</si>
  <si>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</si>
  <si>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</si>
  <si>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</si>
  <si>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</si>
  <si>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</si>
  <si>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</si>
  <si>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</si>
  <si>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</si>
  <si>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</si>
  <si>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</si>
  <si>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</si>
  <si>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</si>
  <si>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</si>
  <si>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</si>
  <si>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</si>
  <si>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</si>
  <si>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</si>
  <si>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</si>
  <si>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</si>
  <si>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</si>
  <si>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</si>
  <si>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</si>
  <si>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</si>
  <si>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</si>
  <si>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</si>
  <si>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</si>
  <si>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</si>
  <si>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</si>
  <si>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</si>
  <si>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</si>
  <si>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</si>
  <si>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</si>
  <si>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</si>
  <si>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</si>
  <si>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</si>
  <si>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</si>
  <si>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</si>
  <si>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</si>
  <si>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</si>
  <si>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</si>
  <si>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</si>
  <si>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</si>
  <si>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</si>
  <si>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</si>
  <si>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</si>
  <si>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</si>
  <si>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</si>
  <si>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</si>
  <si>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</si>
  <si>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</si>
  <si>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</si>
  <si>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</si>
  <si>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</si>
  <si>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</si>
  <si>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</si>
  <si>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</si>
  <si>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</si>
  <si>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</si>
  <si>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</si>
  <si>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</si>
  <si>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</si>
  <si>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</si>
  <si>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</si>
  <si>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</si>
  <si>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</si>
  <si>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</si>
  <si>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</si>
  <si>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</si>
  <si>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</si>
  <si>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</si>
  <si>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</si>
  <si>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</si>
  <si>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</si>
  <si>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</si>
  <si>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</si>
  <si>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</si>
  <si>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</si>
  <si>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</si>
  <si>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</si>
  <si>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</si>
  <si>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</si>
  <si>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</si>
  <si>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</si>
  <si>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</si>
  <si>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</si>
  <si>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</si>
  <si>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</si>
  <si>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</si>
  <si>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</si>
  <si>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</si>
  <si>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</si>
  <si>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</si>
  <si>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</si>
  <si>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</si>
  <si>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</si>
  <si>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</si>
  <si>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</si>
  <si>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</si>
  <si>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</si>
  <si>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</si>
  <si>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</si>
  <si>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</si>
  <si>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</si>
  <si>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</si>
  <si>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</si>
  <si>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</si>
  <si>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</si>
  <si>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</si>
  <si>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</si>
  <si>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</si>
  <si>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</si>
  <si>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</si>
  <si>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</si>
  <si>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</si>
  <si>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</si>
  <si>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</si>
  <si>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</si>
  <si>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</si>
  <si>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</si>
  <si>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</si>
  <si>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</si>
  <si>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</si>
  <si>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</si>
  <si>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</si>
  <si>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</si>
  <si>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</si>
  <si>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</si>
  <si>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</si>
  <si>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</si>
  <si>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</si>
  <si>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</si>
  <si>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</si>
  <si>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</si>
  <si>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</si>
  <si>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</si>
  <si>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</si>
  <si>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</si>
  <si>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</si>
  <si>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</si>
  <si>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</si>
  <si>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</si>
  <si>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</si>
  <si>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</si>
  <si>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</si>
  <si>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</si>
  <si>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</si>
  <si>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</si>
  <si>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</si>
  <si>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</si>
  <si>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</si>
  <si>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</si>
  <si>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</si>
  <si>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</si>
  <si>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</si>
  <si>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</si>
  <si>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</si>
  <si>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</si>
  <si>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</si>
  <si>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</si>
  <si>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</si>
  <si>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</si>
  <si>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</si>
  <si>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</si>
  <si>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</si>
  <si>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</si>
  <si>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</si>
  <si>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</si>
  <si>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</si>
  <si>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</si>
  <si>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</si>
  <si>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</si>
  <si>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</si>
  <si>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</si>
  <si>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</si>
  <si>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</si>
  <si>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</si>
  <si>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</si>
  <si>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</si>
  <si>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</si>
  <si>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</si>
  <si>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</si>
  <si>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</si>
  <si>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</si>
  <si>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</si>
  <si>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</si>
  <si>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</si>
  <si>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</si>
  <si>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</si>
  <si>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</si>
  <si>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</si>
  <si>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</si>
  <si>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</si>
  <si>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</si>
  <si>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</si>
  <si>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</si>
  <si>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</si>
  <si>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</si>
  <si>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</si>
  <si>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</si>
  <si>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</si>
  <si>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</si>
  <si>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</si>
  <si>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</si>
  <si>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</si>
  <si>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</si>
  <si>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</si>
  <si>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</si>
  <si>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</si>
  <si>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</si>
  <si>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</si>
  <si>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</si>
  <si>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</si>
  <si>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</si>
  <si>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</si>
  <si>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</si>
  <si>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</si>
  <si>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</si>
  <si>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</si>
  <si>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</si>
  <si>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</si>
  <si>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</si>
  <si>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</si>
  <si>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</si>
  <si>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</si>
  <si>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</si>
  <si>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</si>
  <si>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</si>
  <si>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</si>
  <si>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</si>
  <si>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</si>
  <si>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</si>
  <si>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</si>
  <si>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</si>
  <si>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</si>
  <si>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</si>
  <si>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</si>
  <si>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</si>
  <si>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</si>
  <si>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</si>
  <si>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</si>
  <si>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</si>
  <si>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</si>
  <si>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</si>
  <si>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</si>
  <si>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</si>
  <si>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</si>
  <si>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</si>
  <si>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</si>
  <si>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</si>
  <si>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</si>
  <si>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</si>
  <si>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</si>
  <si>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</si>
  <si>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</si>
  <si>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</si>
  <si>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</si>
  <si>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</si>
  <si>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</si>
  <si>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</si>
  <si>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</si>
  <si>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</si>
  <si>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</si>
  <si>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</si>
  <si>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</si>
  <si>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</si>
  <si>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</si>
  <si>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</si>
  <si>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</si>
  <si>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</si>
  <si>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</si>
  <si>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</si>
  <si>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</si>
  <si>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</si>
  <si>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</si>
  <si>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</si>
  <si>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</si>
  <si>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</si>
  <si>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</si>
  <si>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</si>
  <si>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</si>
  <si>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</si>
  <si>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</si>
  <si>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</si>
  <si>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</si>
  <si>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</si>
  <si>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</si>
  <si>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</si>
  <si>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</si>
  <si>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</si>
  <si>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</si>
  <si>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</si>
  <si>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</si>
  <si>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</si>
  <si>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</si>
  <si>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</si>
  <si>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</si>
  <si>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</si>
  <si>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</si>
  <si>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</si>
  <si>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</si>
  <si>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</si>
  <si>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</si>
  <si>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</si>
  <si>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</si>
  <si>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</si>
  <si>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</si>
  <si>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</si>
  <si>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</si>
  <si>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</si>
  <si>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</si>
  <si>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</si>
  <si>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</si>
  <si>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</si>
  <si>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</si>
  <si>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</si>
  <si>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</si>
  <si>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</si>
  <si>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</si>
  <si>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</si>
  <si>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</si>
  <si>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</si>
  <si>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</si>
  <si>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</si>
  <si>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</si>
  <si>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</si>
  <si>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</si>
  <si>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</si>
  <si>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</si>
  <si>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</si>
  <si>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</si>
  <si>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</si>
  <si>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</si>
  <si>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</si>
  <si>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</si>
  <si>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</si>
  <si>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</si>
  <si>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</si>
  <si>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</si>
  <si>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</si>
  <si>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</si>
  <si>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</si>
  <si>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</si>
  <si>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</si>
  <si>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</si>
  <si>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</si>
  <si>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</si>
  <si>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</si>
  <si>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</si>
  <si>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</si>
  <si>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</si>
  <si>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</si>
  <si>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</si>
  <si>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</si>
  <si>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</si>
  <si>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</si>
  <si>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</si>
  <si>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</si>
  <si>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</si>
  <si>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</si>
  <si>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</si>
  <si>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</si>
  <si>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</si>
  <si>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</si>
  <si>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</si>
  <si>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</si>
  <si>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</si>
  <si>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</si>
  <si>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</si>
  <si>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</si>
  <si>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</si>
  <si>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</si>
  <si>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</si>
  <si>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</si>
  <si>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</si>
  <si>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</si>
  <si>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</si>
  <si>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</si>
  <si>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</si>
  <si>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</si>
  <si>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</si>
  <si>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</si>
  <si>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</si>
  <si>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</si>
  <si>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</si>
  <si>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</si>
  <si>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</si>
  <si>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</si>
  <si>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</si>
  <si>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</si>
  <si>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</si>
  <si>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</si>
  <si>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</si>
  <si>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</si>
  <si>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</si>
  <si>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</si>
  <si>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</si>
  <si>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</si>
  <si>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</si>
  <si>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</si>
  <si>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</si>
  <si>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</si>
  <si>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</si>
  <si>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</si>
  <si>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</si>
  <si>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</si>
  <si>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</si>
  <si>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</si>
  <si>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</si>
  <si>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</si>
  <si>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</si>
  <si>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</si>
  <si>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</si>
  <si>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</si>
  <si>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</si>
  <si>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</si>
  <si>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</si>
  <si>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</si>
  <si>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</si>
  <si>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</si>
  <si>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</si>
  <si>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</si>
  <si>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</si>
  <si>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</si>
  <si>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</si>
  <si>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</si>
  <si>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</si>
  <si>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</si>
  <si>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</si>
  <si>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</si>
  <si>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</si>
  <si>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</si>
  <si>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</si>
  <si>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</si>
  <si>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</si>
  <si>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</si>
  <si>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</si>
  <si>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</si>
  <si>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</si>
  <si>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</si>
  <si>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</si>
  <si>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</si>
  <si>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</si>
  <si>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</si>
  <si>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</si>
  <si>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</si>
  <si>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</si>
  <si>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</si>
  <si>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</si>
  <si>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</si>
  <si>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</si>
  <si>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</si>
  <si>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</si>
  <si>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</si>
  <si>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</si>
  <si>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</si>
  <si>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</si>
  <si>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</si>
  <si>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</si>
  <si>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</si>
  <si>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</si>
  <si>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</si>
  <si>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</si>
  <si>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</si>
  <si>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</si>
  <si>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</si>
  <si>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</si>
  <si>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</si>
  <si>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</si>
  <si>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</si>
  <si>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</si>
  <si>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</si>
  <si>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</si>
  <si>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</si>
  <si>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</si>
  <si>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</si>
  <si>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</si>
  <si>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</si>
  <si>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</si>
  <si>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</si>
  <si>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</si>
  <si>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</si>
  <si>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</si>
  <si>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</si>
  <si>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</si>
  <si>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</si>
  <si>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</si>
  <si>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</si>
  <si>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</si>
  <si>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</si>
  <si>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</si>
  <si>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</si>
  <si>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</si>
  <si>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</si>
  <si>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</si>
  <si>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</si>
  <si>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</si>
  <si>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</si>
  <si>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</si>
  <si>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</si>
  <si>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</si>
  <si>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</si>
  <si>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</si>
  <si>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</si>
  <si>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</si>
  <si>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</si>
  <si>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</si>
  <si>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</si>
  <si>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</si>
  <si>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</si>
  <si>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</si>
  <si>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</si>
  <si>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</si>
  <si>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</si>
  <si>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</si>
  <si>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</si>
  <si>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</si>
  <si>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</si>
  <si>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</si>
  <si>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</si>
  <si>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</si>
  <si>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</si>
  <si>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</si>
  <si>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</si>
  <si>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</si>
  <si>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</si>
  <si>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</si>
  <si>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</si>
  <si>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</si>
  <si>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</si>
  <si>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</si>
  <si>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</si>
  <si>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</si>
  <si>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</si>
  <si>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</si>
  <si>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</si>
  <si>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</si>
  <si>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</si>
  <si>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</si>
  <si>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</si>
  <si>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</si>
  <si>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</si>
  <si>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</si>
  <si>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</si>
  <si>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</si>
  <si>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</si>
  <si>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</si>
  <si>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</si>
  <si>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</si>
  <si>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</si>
  <si>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</si>
  <si>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</si>
  <si>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</si>
  <si>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</si>
  <si>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</si>
  <si>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</si>
  <si>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</si>
  <si>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</si>
  <si>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</si>
  <si>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</si>
  <si>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</si>
  <si>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</si>
  <si>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</si>
  <si>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</si>
  <si>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</si>
  <si>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</si>
  <si>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</si>
  <si>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</si>
  <si>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</si>
  <si>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</si>
  <si>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</si>
  <si>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</si>
  <si>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</si>
  <si>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</si>
  <si>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</si>
  <si>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</si>
  <si>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</si>
  <si>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</si>
  <si>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</si>
  <si>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</si>
  <si>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</si>
  <si>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</si>
  <si>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</si>
  <si>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</si>
  <si>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</si>
  <si>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</si>
  <si>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</si>
  <si>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</si>
  <si>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</si>
  <si>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</si>
  <si>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</si>
  <si>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</si>
  <si>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</si>
  <si>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</si>
  <si>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</si>
  <si>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</si>
  <si>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</si>
  <si>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</si>
  <si>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</si>
  <si>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</si>
  <si>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</si>
  <si>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</si>
  <si>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</si>
  <si>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</si>
  <si>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</si>
  <si>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</si>
  <si>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</si>
  <si>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</si>
  <si>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</si>
  <si>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</si>
  <si>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</si>
  <si>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</si>
  <si>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</si>
  <si>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</si>
  <si>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</si>
  <si>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</si>
  <si>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</si>
  <si>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</si>
  <si>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</si>
  <si>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</si>
  <si>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</si>
  <si>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</si>
  <si>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</si>
  <si>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</si>
  <si>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</si>
  <si>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</si>
  <si>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</si>
  <si>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</si>
  <si>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</si>
  <si>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</si>
  <si>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</si>
  <si>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</si>
  <si>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</si>
  <si>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</si>
  <si>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</si>
  <si>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</si>
  <si>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</si>
  <si>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</si>
  <si>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</si>
  <si>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</si>
  <si>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</si>
  <si>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</si>
  <si>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</si>
  <si>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</si>
  <si>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</si>
  <si>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</si>
  <si>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</si>
  <si>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</si>
  <si>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</si>
  <si>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</si>
  <si>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</si>
  <si>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</si>
  <si>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</si>
  <si>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</si>
  <si>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</si>
  <si>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</si>
  <si>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</si>
  <si>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</si>
  <si>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</si>
  <si>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</si>
  <si>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</si>
  <si>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</si>
  <si>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</si>
  <si>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</si>
  <si>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</si>
  <si>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</si>
  <si>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</si>
  <si>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</si>
  <si>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</si>
  <si>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</si>
  <si>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</si>
  <si>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</si>
  <si>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</si>
  <si>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</si>
  <si>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</si>
  <si>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</si>
  <si>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</si>
  <si>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</si>
  <si>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</si>
  <si>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</si>
  <si>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</si>
  <si>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</si>
  <si>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</si>
  <si>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</si>
  <si>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</si>
  <si>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</si>
  <si>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</si>
  <si>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</si>
  <si>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</si>
  <si>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</si>
  <si>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</si>
  <si>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</si>
  <si>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</si>
  <si>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</si>
  <si>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</si>
  <si>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</si>
  <si>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</si>
  <si>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</si>
  <si>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</si>
  <si>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</si>
  <si>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</si>
  <si>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</si>
  <si>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</si>
  <si>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</si>
  <si>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</si>
  <si>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</si>
  <si>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</si>
  <si>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</si>
  <si>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</si>
  <si>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</si>
  <si>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</si>
  <si>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</si>
  <si>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</si>
  <si>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</si>
  <si>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</si>
  <si>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</si>
  <si>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</si>
  <si>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</si>
  <si>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</si>
  <si>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</si>
  <si>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</si>
  <si>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</si>
  <si>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</si>
  <si>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</si>
  <si>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</si>
  <si>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</si>
  <si>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</si>
  <si>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</si>
  <si>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</si>
  <si>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</si>
  <si>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</si>
  <si>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</si>
  <si>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</si>
  <si>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</si>
  <si>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</si>
  <si>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</si>
  <si>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</si>
  <si>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</si>
  <si>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</si>
  <si>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</si>
  <si>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</si>
  <si>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</si>
  <si>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</si>
  <si>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</si>
  <si>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</si>
  <si>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</si>
  <si>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</si>
  <si>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</si>
  <si>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</si>
  <si>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</si>
  <si>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</si>
  <si>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</si>
  <si>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</si>
  <si>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</si>
  <si>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</si>
  <si>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</si>
  <si>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</si>
  <si>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</si>
  <si>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</si>
  <si>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</si>
  <si>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</si>
  <si>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</si>
  <si>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</si>
  <si>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</si>
  <si>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</si>
  <si>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</si>
  <si>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</si>
  <si>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</si>
  <si>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</si>
  <si>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</si>
  <si>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</si>
  <si>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</si>
  <si>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</si>
  <si>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</si>
  <si>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</si>
  <si>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</si>
  <si>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</si>
  <si>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</si>
  <si>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</si>
  <si>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</si>
  <si>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</si>
  <si>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</si>
  <si>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</si>
  <si>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</si>
  <si>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</si>
  <si>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</si>
  <si>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</si>
  <si>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</si>
  <si>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</si>
  <si>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</si>
  <si>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</si>
  <si>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</si>
  <si>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</si>
  <si>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</si>
  <si>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</si>
  <si>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</si>
  <si>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</si>
  <si>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</si>
  <si>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</si>
  <si>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</si>
  <si>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</si>
  <si>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</si>
  <si>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</si>
  <si>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</si>
  <si>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</si>
  <si>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</si>
  <si>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</si>
  <si>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</si>
  <si>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</si>
  <si>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</si>
  <si>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</si>
  <si>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</si>
  <si>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</si>
  <si>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</si>
  <si>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</si>
  <si>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</si>
  <si>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</si>
  <si>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</si>
  <si>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</si>
  <si>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</si>
  <si>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</si>
  <si>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</si>
  <si>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</si>
  <si>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</si>
  <si>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</si>
  <si>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</si>
  <si>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</si>
  <si>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</si>
  <si>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</si>
  <si>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</si>
  <si>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</si>
  <si>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</si>
  <si>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</si>
  <si>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</si>
  <si>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</si>
  <si>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</si>
  <si>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</si>
  <si>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</si>
  <si>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</si>
  <si>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</si>
  <si>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</si>
  <si>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</si>
  <si>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</si>
  <si>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</si>
  <si>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</si>
  <si>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</si>
  <si>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</si>
  <si>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</si>
  <si>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</si>
  <si>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</si>
  <si>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</si>
  <si>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</si>
  <si>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</si>
  <si>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</si>
  <si>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</si>
  <si>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</si>
  <si>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</si>
  <si>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</si>
  <si>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</si>
  <si>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</si>
  <si>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</si>
  <si>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</si>
  <si>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</si>
  <si>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</si>
  <si>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</si>
  <si>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</si>
  <si>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</si>
  <si>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</si>
  <si>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</si>
  <si>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</si>
  <si>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</si>
  <si>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</si>
  <si>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</si>
  <si>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</si>
  <si>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</si>
  <si>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</si>
  <si>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</si>
  <si>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</si>
  <si>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</si>
  <si>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</si>
  <si>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</si>
  <si>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</si>
  <si>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</si>
  <si>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</si>
  <si>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</si>
  <si>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</si>
  <si>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</si>
  <si>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</si>
  <si>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</si>
  <si>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</si>
  <si>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</si>
  <si>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</si>
  <si>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</si>
  <si>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</si>
  <si>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</si>
  <si>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</si>
  <si>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</si>
  <si>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</si>
  <si>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</si>
  <si>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</si>
  <si>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</si>
  <si>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</si>
  <si>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</si>
  <si>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</si>
  <si>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</si>
  <si>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</si>
  <si>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</si>
  <si>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</si>
  <si>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</si>
  <si>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</si>
  <si>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</si>
  <si>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</si>
  <si>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</si>
  <si>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</si>
  <si>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</si>
  <si>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</si>
  <si>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</si>
  <si>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</si>
  <si>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</si>
  <si>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</si>
  <si>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</si>
  <si>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</si>
  <si>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</si>
  <si>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</si>
  <si>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</si>
  <si>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</si>
  <si>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</si>
  <si>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</si>
  <si>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</si>
  <si>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</si>
  <si>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</si>
  <si>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</si>
  <si>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</si>
  <si>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</si>
  <si>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</si>
  <si>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</si>
  <si>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</si>
  <si>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</si>
  <si>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</si>
  <si>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</si>
  <si>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</si>
  <si>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</si>
  <si>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</si>
  <si>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</si>
  <si>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</si>
  <si>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</si>
  <si>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</si>
  <si>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</si>
  <si>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</si>
  <si>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</si>
  <si>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</si>
  <si>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</si>
  <si>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</si>
  <si>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</si>
  <si>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</si>
  <si>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</si>
  <si>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</si>
  <si>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</si>
  <si>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</si>
  <si>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</si>
  <si>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</si>
  <si>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</si>
  <si>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</si>
  <si>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</si>
  <si>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</si>
  <si>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</si>
  <si>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</si>
  <si>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</si>
  <si>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</si>
  <si>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</si>
  <si>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</si>
  <si>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</si>
  <si>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</si>
  <si>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</si>
  <si>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</si>
  <si>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</si>
  <si>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</si>
  <si>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</si>
  <si>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</si>
  <si>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</si>
  <si>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</si>
  <si>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</si>
  <si>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</si>
  <si>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</si>
  <si>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</si>
  <si>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</si>
  <si>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</si>
  <si>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</si>
  <si>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</si>
  <si>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</si>
  <si>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</si>
  <si>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</si>
  <si>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</si>
  <si>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</si>
  <si>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</si>
  <si>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</si>
  <si>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</si>
  <si>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</si>
  <si>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</si>
  <si>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</si>
  <si>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</si>
  <si>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</si>
  <si>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</si>
  <si>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</si>
  <si>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</si>
  <si>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</si>
  <si>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</si>
  <si>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</si>
  <si>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</si>
  <si>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</si>
  <si>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</si>
  <si>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</si>
  <si>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</si>
  <si>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</si>
  <si>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</si>
  <si>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</si>
  <si>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</si>
  <si>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</si>
  <si>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</si>
  <si>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</si>
  <si>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</si>
  <si>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</si>
  <si>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</si>
  <si>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</si>
  <si>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</si>
  <si>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</si>
  <si>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</si>
  <si>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</si>
  <si>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</si>
  <si>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</si>
  <si>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</si>
  <si>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</si>
  <si>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</si>
  <si>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</si>
  <si>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</si>
  <si>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</si>
  <si>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</si>
  <si>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</si>
  <si>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</si>
  <si>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</si>
  <si>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</si>
  <si>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</si>
  <si>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</si>
  <si>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</si>
  <si>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</si>
  <si>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</si>
  <si>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</si>
  <si>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</si>
  <si>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</si>
  <si>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</si>
  <si>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</si>
  <si>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</si>
  <si>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</si>
  <si>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</si>
  <si>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</si>
  <si>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</si>
  <si>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</si>
  <si>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</si>
  <si>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</si>
  <si>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</si>
  <si>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</si>
  <si>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</si>
  <si>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</si>
  <si>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</si>
  <si>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</si>
  <si>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</si>
  <si>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</si>
  <si>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</si>
  <si>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</si>
  <si>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</si>
  <si>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</si>
  <si>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</si>
  <si>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</si>
  <si>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</si>
  <si>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</si>
  <si>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</si>
  <si>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</si>
  <si>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</si>
  <si>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</si>
  <si>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</si>
  <si>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</si>
  <si>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</si>
  <si>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</si>
  <si>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</si>
  <si>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</si>
  <si>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</si>
  <si>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</si>
  <si>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</si>
  <si>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</si>
  <si>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</si>
  <si>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</si>
  <si>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</si>
  <si>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</si>
  <si>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</si>
  <si>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</si>
  <si>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</si>
  <si>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</si>
  <si>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</si>
  <si>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</si>
  <si>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</si>
  <si>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</si>
  <si>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</si>
  <si>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</si>
  <si>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</si>
  <si>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</si>
  <si>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</si>
  <si>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</si>
  <si>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</si>
  <si>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</si>
  <si>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</si>
  <si>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</si>
  <si>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</si>
  <si>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</si>
  <si>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</si>
  <si>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</si>
  <si>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</si>
  <si>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</si>
  <si>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</si>
  <si>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</si>
  <si>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</si>
  <si>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</si>
  <si>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</si>
  <si>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</si>
  <si>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</si>
  <si>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</si>
  <si>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</si>
  <si>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</si>
  <si>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</si>
  <si>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</si>
  <si>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</si>
  <si>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</si>
  <si>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</si>
  <si>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</si>
  <si>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</si>
  <si>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</si>
  <si>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</si>
  <si>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</si>
  <si>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</si>
  <si>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</si>
  <si>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</si>
  <si>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</si>
  <si>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</si>
  <si>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</si>
  <si>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</si>
  <si>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</si>
  <si>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</si>
  <si>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</si>
  <si>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</si>
  <si>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</si>
  <si>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</si>
  <si>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</si>
  <si>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</si>
  <si>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</si>
  <si>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</si>
  <si>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</si>
  <si>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</si>
  <si>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</si>
  <si>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</si>
  <si>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</si>
  <si>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</si>
  <si>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</si>
  <si>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</si>
  <si>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</si>
  <si>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</si>
  <si>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</si>
  <si>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</si>
  <si>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</si>
  <si>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</si>
  <si>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</si>
  <si>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</si>
  <si>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</si>
  <si>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</si>
  <si>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</si>
  <si>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</si>
  <si>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</si>
  <si>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</si>
  <si>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</si>
  <si>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</si>
  <si>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</si>
  <si>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</si>
  <si>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</si>
  <si>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</si>
  <si>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</si>
  <si>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</si>
  <si>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</si>
  <si>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</si>
  <si>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</si>
  <si>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</si>
  <si>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</si>
  <si>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</si>
  <si>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</si>
  <si>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</si>
  <si>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</si>
  <si>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</si>
  <si>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</si>
  <si>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</si>
  <si>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</si>
  <si>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</si>
  <si>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</si>
  <si>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</si>
  <si>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</si>
  <si>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</si>
  <si>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</si>
  <si>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</si>
  <si>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</si>
  <si>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</si>
  <si>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</si>
  <si>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</si>
  <si>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</si>
  <si>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</si>
  <si>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</si>
  <si>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</si>
  <si>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</si>
  <si>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</si>
  <si>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</si>
  <si>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</si>
  <si>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</si>
  <si>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</si>
  <si>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</si>
  <si>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</si>
  <si>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</si>
  <si>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</si>
  <si>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</si>
  <si>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</si>
  <si>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</si>
  <si>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</si>
  <si>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</si>
  <si>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</si>
  <si>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</si>
  <si>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</si>
  <si>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</si>
  <si>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</si>
  <si>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</si>
  <si>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</si>
  <si>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</si>
  <si>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</si>
  <si>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</si>
  <si>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</si>
  <si>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</si>
  <si>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</si>
  <si>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</si>
  <si>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</si>
  <si>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</si>
  <si>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</si>
  <si>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</si>
  <si>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</si>
  <si>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</si>
  <si>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</si>
  <si>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</si>
  <si>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</si>
  <si>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</si>
  <si>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</si>
  <si>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</si>
  <si>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</si>
  <si>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</si>
  <si>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</si>
  <si>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</si>
  <si>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</si>
  <si>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</si>
  <si>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</si>
  <si>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</si>
  <si>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</si>
  <si>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</si>
  <si>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</si>
  <si>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</si>
  <si>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</si>
  <si>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</si>
  <si>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</si>
  <si>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</si>
  <si>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</si>
  <si>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</si>
  <si>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</si>
  <si>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</si>
  <si>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</si>
  <si>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</si>
  <si>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</si>
  <si>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</si>
  <si>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</si>
  <si>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</si>
  <si>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</si>
  <si>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</si>
  <si>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</si>
  <si>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</si>
  <si>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</si>
  <si>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</si>
  <si>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</si>
  <si>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</si>
  <si>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</si>
  <si>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</si>
  <si>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</si>
  <si>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</si>
  <si>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</si>
  <si>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</si>
  <si>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</si>
  <si>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</si>
  <si>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</si>
  <si>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</si>
  <si>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</si>
  <si>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</si>
  <si>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</si>
  <si>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</si>
  <si>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</si>
  <si>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</si>
  <si>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</si>
  <si>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</si>
  <si>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</si>
  <si>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</si>
  <si>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</si>
  <si>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</si>
  <si>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</si>
  <si>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</si>
  <si>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</si>
  <si>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</si>
  <si>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</si>
  <si>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</si>
  <si>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</si>
  <si>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</si>
  <si>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</si>
  <si>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</si>
  <si>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</si>
  <si>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</si>
  <si>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</si>
  <si>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</si>
  <si>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</si>
  <si>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</si>
  <si>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</si>
  <si>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</si>
  <si>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</si>
  <si>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</si>
  <si>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</si>
  <si>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</si>
  <si>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</si>
  <si>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</si>
  <si>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</si>
  <si>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</si>
  <si>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</si>
  <si>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</si>
  <si>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</si>
  <si>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</si>
  <si>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</si>
  <si>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</si>
  <si>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</si>
  <si>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</si>
  <si>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</si>
  <si>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</si>
  <si>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</si>
  <si>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</si>
  <si>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</si>
  <si>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</si>
  <si>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</si>
  <si>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</si>
  <si>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</si>
  <si>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</si>
  <si>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</si>
  <si>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</si>
  <si>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</si>
  <si>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</si>
  <si>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</si>
  <si>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</si>
  <si>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</si>
  <si>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</si>
  <si>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</si>
  <si>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</si>
  <si>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</si>
  <si>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</si>
  <si>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تعداد سکه باقیمانده (3 تا دست مریم، 15 تا بورس مریم، 5 تا دست سارا،  16 تا بورس علی)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</si>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</sst>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36" borderId="1" xfId="0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8" workbookViewId="0">
      <selection activeCell="E45" sqref="E4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4822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4786</v>
      </c>
      <c r="B23" s="18">
        <v>0</v>
      </c>
      <c r="C23" s="18">
        <v>0</v>
      </c>
      <c r="D23" s="113">
        <f t="shared" si="0"/>
        <v>0</v>
      </c>
      <c r="E23" s="19" t="s">
        <v>4787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4796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4837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1005038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4786</v>
      </c>
      <c r="B313" s="18">
        <v>-297992</v>
      </c>
      <c r="C313" s="18">
        <v>0</v>
      </c>
      <c r="D313" s="18">
        <f t="shared" si="18"/>
        <v>-297992</v>
      </c>
      <c r="E313" s="99" t="s">
        <v>4787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4796</v>
      </c>
      <c r="B315" s="18">
        <v>-40000</v>
      </c>
      <c r="C315" s="18">
        <v>0</v>
      </c>
      <c r="D315" s="18">
        <f t="shared" si="18"/>
        <v>-40000</v>
      </c>
      <c r="E315" s="99" t="s">
        <v>4815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4822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4807</v>
      </c>
      <c r="B75" s="113">
        <v>-20000</v>
      </c>
      <c r="C75" s="99" t="s">
        <v>4816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16" sqref="L16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4827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6"/>
  <sheetViews>
    <sheetView tabSelected="1" topLeftCell="N202" zoomScaleNormal="100" workbookViewId="0">
      <selection activeCell="R233" sqref="R23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74658515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147</v>
      </c>
      <c r="T20" s="168" t="s">
        <v>4309</v>
      </c>
      <c r="U20" s="168">
        <v>192.1</v>
      </c>
      <c r="V20" s="168">
        <f t="shared" ref="V20:V46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330627416.82113761</v>
      </c>
      <c r="M21" s="168" t="s">
        <v>4301</v>
      </c>
      <c r="N21" s="113">
        <f t="shared" ref="N21:N25" si="9">O21*P21</f>
        <v>15010320.9</v>
      </c>
      <c r="O21" s="99">
        <v>82429</v>
      </c>
      <c r="P21" s="187">
        <f>P54</f>
        <v>182.1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26522007</v>
      </c>
      <c r="O22" s="99">
        <v>7834</v>
      </c>
      <c r="P22" s="187">
        <f>P44</f>
        <v>3385.5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46159535.500000007</v>
      </c>
      <c r="O23" s="99">
        <v>86815</v>
      </c>
      <c r="P23" s="187">
        <f>P48</f>
        <v>531.70000000000005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332607387.82113761</v>
      </c>
      <c r="G24" s="95">
        <f t="shared" si="0"/>
        <v>-52301042.439198971</v>
      </c>
      <c r="H24" s="11"/>
      <c r="I24" s="96"/>
      <c r="J24" s="96"/>
      <c r="K24" s="219"/>
      <c r="L24" s="117"/>
      <c r="M24" s="219" t="s">
        <v>4546</v>
      </c>
      <c r="N24" s="113">
        <f t="shared" si="9"/>
        <v>82544175.599999994</v>
      </c>
      <c r="O24" s="99">
        <v>19918</v>
      </c>
      <c r="P24" s="187">
        <f>P49</f>
        <v>4144.2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4506555.5999999996</v>
      </c>
      <c r="O25" s="99">
        <v>828</v>
      </c>
      <c r="P25" s="99">
        <f>P47</f>
        <v>5442.7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255806.9</v>
      </c>
      <c r="O28" s="69">
        <v>47</v>
      </c>
      <c r="P28" s="99">
        <f>P47</f>
        <v>5442.7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362248.5</v>
      </c>
      <c r="O29" s="69">
        <v>107</v>
      </c>
      <c r="P29" s="99">
        <f>P44</f>
        <v>3385.5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371126.60000000003</v>
      </c>
      <c r="O30" s="69">
        <v>698</v>
      </c>
      <c r="P30" s="99">
        <f>P48</f>
        <v>531.70000000000005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3156703.5</v>
      </c>
      <c r="O31" s="69">
        <v>17335</v>
      </c>
      <c r="P31" s="99">
        <f>P54</f>
        <v>182.1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4795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4796</v>
      </c>
      <c r="S33" s="199">
        <f>S32-1</f>
        <v>-1</v>
      </c>
      <c r="T33" s="219" t="s">
        <v>4797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-S143</f>
        <v>-330627416.82113761</v>
      </c>
      <c r="O34" s="96" t="s">
        <v>25</v>
      </c>
      <c r="P34" s="96" t="s">
        <v>25</v>
      </c>
      <c r="Q34" s="169">
        <v>10881161</v>
      </c>
      <c r="R34" s="219" t="s">
        <v>4796</v>
      </c>
      <c r="S34" s="199">
        <f>S33</f>
        <v>-1</v>
      </c>
      <c r="T34" s="219" t="s">
        <v>4798</v>
      </c>
      <c r="U34" s="219">
        <v>3095</v>
      </c>
      <c r="V34" s="219">
        <f t="shared" si="6"/>
        <v>3127.2897534246581</v>
      </c>
      <c r="W34" s="32">
        <f t="shared" ref="W34:W46" si="13">V34*(1+$W$19/100)</f>
        <v>3189.8355484931512</v>
      </c>
      <c r="X34" s="32">
        <f t="shared" ref="X34:X46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4796</v>
      </c>
      <c r="S35" s="199">
        <f>S34</f>
        <v>-1</v>
      </c>
      <c r="T35" s="219" t="s">
        <v>4799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فیزیکی'!M46*10*P55</f>
        <v>45000000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4796</v>
      </c>
      <c r="S36" s="199">
        <f>S35</f>
        <v>-1</v>
      </c>
      <c r="T36" s="219" t="s">
        <v>4800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4807</v>
      </c>
      <c r="S37" s="199">
        <f>S36-1</f>
        <v>-2</v>
      </c>
      <c r="T37" s="219" t="s">
        <v>4811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فیزیکی'!M45+3)*10*P55</f>
        <v>35000000</v>
      </c>
      <c r="O38" s="96"/>
      <c r="P38" s="96" t="s">
        <v>25</v>
      </c>
      <c r="Q38" s="169">
        <v>13402013</v>
      </c>
      <c r="R38" s="219" t="s">
        <v>4807</v>
      </c>
      <c r="S38" s="199">
        <f>S37</f>
        <v>-2</v>
      </c>
      <c r="T38" s="219" t="s">
        <v>4812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4818</v>
      </c>
      <c r="S39" s="199">
        <f>S38-1</f>
        <v>-3</v>
      </c>
      <c r="T39" s="219" t="s">
        <v>4819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>
        <v>3377001</v>
      </c>
      <c r="R40" s="219" t="s">
        <v>4828</v>
      </c>
      <c r="S40" s="199">
        <f>S39-4</f>
        <v>-7</v>
      </c>
      <c r="T40" s="219" t="s">
        <v>4834</v>
      </c>
      <c r="U40" s="219">
        <v>3324.8</v>
      </c>
      <c r="V40" s="219">
        <f t="shared" si="6"/>
        <v>3344.184039452055</v>
      </c>
      <c r="W40" s="32">
        <f t="shared" si="13"/>
        <v>3411.0677202410961</v>
      </c>
      <c r="X40" s="32">
        <f t="shared" si="14"/>
        <v>3477.9514010301373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4828</v>
      </c>
      <c r="S41" s="199">
        <f>S40</f>
        <v>-7</v>
      </c>
      <c r="T41" s="219" t="s">
        <v>4832</v>
      </c>
      <c r="U41" s="219">
        <v>4176.3</v>
      </c>
      <c r="V41" s="219">
        <f t="shared" si="6"/>
        <v>4200.6484010958911</v>
      </c>
      <c r="W41" s="32">
        <f t="shared" si="13"/>
        <v>4284.661369117809</v>
      </c>
      <c r="X41" s="32">
        <f t="shared" si="14"/>
        <v>4368.674337139727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v>15499033</v>
      </c>
      <c r="R42" s="219" t="s">
        <v>4828</v>
      </c>
      <c r="S42" s="199">
        <f>S41</f>
        <v>-7</v>
      </c>
      <c r="T42" s="219" t="s">
        <v>4833</v>
      </c>
      <c r="U42" s="219">
        <v>525.1</v>
      </c>
      <c r="V42" s="219">
        <f t="shared" si="6"/>
        <v>528.16140493150692</v>
      </c>
      <c r="W42" s="32">
        <f t="shared" si="13"/>
        <v>538.72463303013706</v>
      </c>
      <c r="X42" s="32">
        <f t="shared" si="14"/>
        <v>549.28786112876719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Q43" s="169"/>
      <c r="R43" s="219"/>
      <c r="S43" s="199"/>
      <c r="T43" s="219"/>
      <c r="U43" s="219"/>
      <c r="V43" s="219"/>
      <c r="W43" s="32"/>
      <c r="X43" s="32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77998534.5</v>
      </c>
      <c r="O44" s="99">
        <v>23039</v>
      </c>
      <c r="P44" s="99">
        <v>3385.5</v>
      </c>
      <c r="Q44" s="169"/>
      <c r="R44" s="219"/>
      <c r="S44" s="199"/>
      <c r="T44" s="219"/>
      <c r="U44" s="219"/>
      <c r="V44" s="219"/>
      <c r="W44" s="32"/>
      <c r="X44" s="32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741000</v>
      </c>
      <c r="O45" s="69">
        <v>2000</v>
      </c>
      <c r="P45" s="69">
        <v>370.5</v>
      </c>
      <c r="Q45" s="169"/>
      <c r="R45" s="219"/>
      <c r="S45" s="199"/>
      <c r="T45" s="219"/>
      <c r="U45" s="219"/>
      <c r="V45" s="219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1159000</v>
      </c>
      <c r="O46" s="69">
        <v>1000</v>
      </c>
      <c r="P46" s="69">
        <v>1159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114840970</v>
      </c>
      <c r="O47" s="69">
        <v>21100</v>
      </c>
      <c r="P47" s="69">
        <v>5442.7</v>
      </c>
      <c r="Q47" s="169">
        <f>SUM(N21:N25)-SUM(Q20:Q46)</f>
        <v>4859384.599999994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59175551.500000007</v>
      </c>
      <c r="O48" s="69">
        <v>111295</v>
      </c>
      <c r="P48" s="69">
        <v>531.70000000000005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3949422.5999999996</v>
      </c>
      <c r="O49" s="69">
        <v>953</v>
      </c>
      <c r="P49" s="69">
        <v>4144.2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14428962.9</v>
      </c>
      <c r="O50" s="69">
        <v>2913</v>
      </c>
      <c r="P50" s="69">
        <v>4953.3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3519000</v>
      </c>
      <c r="O51" s="69">
        <v>5100</v>
      </c>
      <c r="P51" s="69">
        <v>690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4365</v>
      </c>
      <c r="V51" s="73" t="s">
        <v>4367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210198.8</v>
      </c>
      <c r="O52" s="69">
        <v>1148</v>
      </c>
      <c r="P52" s="69">
        <v>183.1</v>
      </c>
      <c r="Q52" s="168">
        <v>0</v>
      </c>
      <c r="R52" s="168" t="s">
        <v>4172</v>
      </c>
      <c r="S52" s="168">
        <f>S70</f>
        <v>147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1219350</v>
      </c>
      <c r="O53" s="69">
        <v>5500</v>
      </c>
      <c r="P53" s="69">
        <v>221.7</v>
      </c>
      <c r="Q53" s="169">
        <v>863944</v>
      </c>
      <c r="R53" s="168" t="s">
        <v>4441</v>
      </c>
      <c r="S53" s="168">
        <f>S52-62</f>
        <v>85</v>
      </c>
      <c r="T53" s="192" t="s">
        <v>4517</v>
      </c>
      <c r="U53" s="168">
        <v>184.6</v>
      </c>
      <c r="V53" s="168">
        <f t="shared" ref="V53:V61" si="16">U53*(1+$N$86+$Q$15*S53/36500)</f>
        <v>198.7044515068493</v>
      </c>
      <c r="W53" s="32">
        <f t="shared" ref="W53:W61" si="17">V53*(1+$W$19/100)</f>
        <v>202.67854053698628</v>
      </c>
      <c r="X53" s="32">
        <f t="shared" ref="X53:X61" si="18">V53*(1+$X$19/100)</f>
        <v>206.65262956712328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230636387.69999999</v>
      </c>
      <c r="O54" s="99">
        <v>1266537</v>
      </c>
      <c r="P54" s="99">
        <v>182.1</v>
      </c>
      <c r="Q54" s="169">
        <v>1692313</v>
      </c>
      <c r="R54" s="168" t="s">
        <v>4520</v>
      </c>
      <c r="S54" s="199">
        <f>S53-21</f>
        <v>64</v>
      </c>
      <c r="T54" s="191" t="s">
        <v>4521</v>
      </c>
      <c r="U54" s="168">
        <v>168.5</v>
      </c>
      <c r="V54" s="168">
        <f t="shared" si="16"/>
        <v>178.65985753424658</v>
      </c>
      <c r="W54" s="32">
        <f t="shared" si="17"/>
        <v>182.23305468493152</v>
      </c>
      <c r="X54" s="32">
        <f t="shared" si="18"/>
        <v>185.80625183561645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15000000</v>
      </c>
      <c r="O55" s="69">
        <v>30</v>
      </c>
      <c r="P55" s="69">
        <v>500000</v>
      </c>
      <c r="Q55" s="169">
        <v>101153</v>
      </c>
      <c r="R55" s="168" t="s">
        <v>4523</v>
      </c>
      <c r="S55" s="199">
        <f>S54-1</f>
        <v>63</v>
      </c>
      <c r="T55" s="191" t="s">
        <v>4525</v>
      </c>
      <c r="U55" s="168">
        <v>166.7</v>
      </c>
      <c r="V55" s="168">
        <f t="shared" si="16"/>
        <v>176.62344547945207</v>
      </c>
      <c r="W55" s="32">
        <f t="shared" si="17"/>
        <v>180.15591438904113</v>
      </c>
      <c r="X55" s="32">
        <f t="shared" si="18"/>
        <v>183.68838329863016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>
        <v>183105</v>
      </c>
      <c r="R56" s="168" t="s">
        <v>4231</v>
      </c>
      <c r="S56" s="199">
        <f>S55-1</f>
        <v>62</v>
      </c>
      <c r="T56" s="191" t="s">
        <v>4529</v>
      </c>
      <c r="U56" s="168">
        <v>166.6</v>
      </c>
      <c r="V56" s="168">
        <f t="shared" si="16"/>
        <v>176.3896898630137</v>
      </c>
      <c r="W56" s="32">
        <f t="shared" si="17"/>
        <v>179.91748366027397</v>
      </c>
      <c r="X56" s="32">
        <f t="shared" si="18"/>
        <v>183.44527745753425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69">
        <v>168846</v>
      </c>
      <c r="R57" s="168" t="s">
        <v>3691</v>
      </c>
      <c r="S57" s="199">
        <f>S56-30</f>
        <v>32</v>
      </c>
      <c r="T57" s="191" t="s">
        <v>4636</v>
      </c>
      <c r="U57" s="168">
        <v>172.2</v>
      </c>
      <c r="V57" s="168">
        <f t="shared" si="16"/>
        <v>178.35579616438358</v>
      </c>
      <c r="W57" s="32">
        <f t="shared" si="17"/>
        <v>181.92291208767125</v>
      </c>
      <c r="X57" s="32">
        <f t="shared" si="18"/>
        <v>185.49002801095892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Q58" s="169">
        <v>250962</v>
      </c>
      <c r="R58" s="168" t="s">
        <v>4682</v>
      </c>
      <c r="S58" s="199">
        <f>S57-10</f>
        <v>22</v>
      </c>
      <c r="T58" s="191" t="s">
        <v>4683</v>
      </c>
      <c r="U58" s="168">
        <v>5315.5</v>
      </c>
      <c r="V58" s="168">
        <f t="shared" si="16"/>
        <v>5464.7417643835624</v>
      </c>
      <c r="W58" s="32">
        <f t="shared" si="17"/>
        <v>5574.0365996712335</v>
      </c>
      <c r="X58" s="32">
        <f t="shared" si="18"/>
        <v>5683.3314349589054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169">
        <v>352231</v>
      </c>
      <c r="R59" s="219" t="s">
        <v>4739</v>
      </c>
      <c r="S59" s="199">
        <f>S58-7</f>
        <v>15</v>
      </c>
      <c r="T59" s="191" t="s">
        <v>4741</v>
      </c>
      <c r="U59" s="219">
        <v>502.3</v>
      </c>
      <c r="V59" s="219">
        <f t="shared" si="16"/>
        <v>513.70565041095892</v>
      </c>
      <c r="W59" s="32">
        <f t="shared" si="17"/>
        <v>523.97976341917808</v>
      </c>
      <c r="X59" s="32">
        <f t="shared" si="18"/>
        <v>534.25387642739724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-15072963.299999999</v>
      </c>
      <c r="O60" s="99">
        <v>82773</v>
      </c>
      <c r="P60" s="99">
        <f>P54</f>
        <v>182.1</v>
      </c>
      <c r="Q60" s="169">
        <v>165067</v>
      </c>
      <c r="R60" s="219" t="s">
        <v>4796</v>
      </c>
      <c r="S60" s="199">
        <f>S59-16</f>
        <v>-1</v>
      </c>
      <c r="T60" s="191" t="s">
        <v>4805</v>
      </c>
      <c r="U60" s="219">
        <v>3095.9</v>
      </c>
      <c r="V60" s="219">
        <f t="shared" si="16"/>
        <v>3128.1991430136991</v>
      </c>
      <c r="W60" s="32">
        <f t="shared" si="17"/>
        <v>3190.763125873973</v>
      </c>
      <c r="X60" s="32">
        <f t="shared" si="18"/>
        <v>3253.3271087342473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368264.5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>
      <c r="E63" s="26"/>
      <c r="K63" s="168"/>
      <c r="L63" s="117"/>
      <c r="M63" s="168" t="s">
        <v>4449</v>
      </c>
      <c r="N63" s="113">
        <f>-S144</f>
        <v>-14800209.55004264</v>
      </c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25000000</v>
      </c>
      <c r="P64" t="s">
        <v>25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332607387.82113761</v>
      </c>
      <c r="M66" s="168"/>
      <c r="N66" s="113">
        <f>SUM(N16:N65)</f>
        <v>417022676.42881972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155</v>
      </c>
      <c r="AM67" s="113">
        <f t="shared" si="11"/>
        <v>-480500000</v>
      </c>
      <c r="AN67" s="20"/>
    </row>
    <row r="68" spans="1:40" ht="30">
      <c r="F68" t="s">
        <v>4103</v>
      </c>
      <c r="G68" t="s">
        <v>4098</v>
      </c>
      <c r="K68" s="56" t="s">
        <v>716</v>
      </c>
      <c r="L68" s="1">
        <f>L66+N7</f>
        <v>402607387.82113761</v>
      </c>
      <c r="M68" s="113"/>
      <c r="N68" s="168"/>
      <c r="O68" s="115"/>
      <c r="P68" s="115"/>
      <c r="Q68" s="73" t="s">
        <v>4295</v>
      </c>
      <c r="R68" s="112"/>
      <c r="S68" s="112"/>
      <c r="T68" s="112"/>
      <c r="U68" s="168" t="s">
        <v>4365</v>
      </c>
      <c r="V68" s="36" t="s">
        <v>4367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184971545</v>
      </c>
      <c r="R70" s="5" t="s">
        <v>4172</v>
      </c>
      <c r="S70" s="5">
        <v>147</v>
      </c>
      <c r="T70" s="5" t="s">
        <v>4348</v>
      </c>
      <c r="U70" s="168">
        <v>192</v>
      </c>
      <c r="V70" s="99">
        <f t="shared" ref="V70:V101" si="20">U70*(1+$N$86+$Q$15*S70/36500)</f>
        <v>215.80168767123291</v>
      </c>
      <c r="W70" s="32">
        <f t="shared" ref="W70:W92" si="21">V70*(1+$W$19/100)</f>
        <v>220.11772142465756</v>
      </c>
      <c r="X70" s="32">
        <f t="shared" ref="X70:X92" si="22">V70*(1+$X$19/100)</f>
        <v>224.43375517808224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9560464</v>
      </c>
      <c r="R71" s="5" t="s">
        <v>4299</v>
      </c>
      <c r="S71" s="5">
        <f>S70-31</f>
        <v>116</v>
      </c>
      <c r="T71" s="5" t="s">
        <v>4312</v>
      </c>
      <c r="U71" s="168">
        <v>214.57</v>
      </c>
      <c r="V71" s="99">
        <f t="shared" si="20"/>
        <v>236.06697468493152</v>
      </c>
      <c r="W71" s="32">
        <f t="shared" si="21"/>
        <v>240.78831417863015</v>
      </c>
      <c r="X71" s="32">
        <f t="shared" si="22"/>
        <v>245.5096536723288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2000000</v>
      </c>
      <c r="R72" s="5" t="s">
        <v>4343</v>
      </c>
      <c r="S72" s="5">
        <f>S71-11</f>
        <v>105</v>
      </c>
      <c r="T72" s="5" t="s">
        <v>4347</v>
      </c>
      <c r="U72" s="168">
        <v>206.8</v>
      </c>
      <c r="V72" s="99">
        <f t="shared" si="20"/>
        <v>225.77347506849316</v>
      </c>
      <c r="W72" s="32">
        <f t="shared" si="21"/>
        <v>230.28894456986302</v>
      </c>
      <c r="X72" s="32">
        <f t="shared" si="22"/>
        <v>234.80441407123288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4791</v>
      </c>
      <c r="Q73" s="35">
        <v>1429825</v>
      </c>
      <c r="R73" s="5" t="s">
        <v>4374</v>
      </c>
      <c r="S73" s="5">
        <f>S72-7</f>
        <v>98</v>
      </c>
      <c r="T73" s="5" t="s">
        <v>4383</v>
      </c>
      <c r="U73" s="168">
        <v>203.9</v>
      </c>
      <c r="V73" s="99">
        <f t="shared" si="20"/>
        <v>221.51249095890415</v>
      </c>
      <c r="W73" s="32">
        <f t="shared" si="21"/>
        <v>225.94274077808223</v>
      </c>
      <c r="X73" s="32">
        <f t="shared" si="22"/>
        <v>230.37299059726033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1420747</v>
      </c>
      <c r="R74" s="5" t="s">
        <v>4374</v>
      </c>
      <c r="S74" s="5">
        <f>S73</f>
        <v>98</v>
      </c>
      <c r="T74" s="5" t="s">
        <v>4385</v>
      </c>
      <c r="U74" s="168">
        <v>203.1</v>
      </c>
      <c r="V74" s="99">
        <f t="shared" si="20"/>
        <v>220.64338849315072</v>
      </c>
      <c r="W74" s="32">
        <f t="shared" si="21"/>
        <v>225.05625626301375</v>
      </c>
      <c r="X74" s="32">
        <f t="shared" si="22"/>
        <v>229.46912403287675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2412371</v>
      </c>
      <c r="R75" s="5" t="s">
        <v>4376</v>
      </c>
      <c r="S75" s="5">
        <f>S74-1</f>
        <v>97</v>
      </c>
      <c r="T75" s="5" t="s">
        <v>4392</v>
      </c>
      <c r="U75" s="168">
        <v>3930</v>
      </c>
      <c r="V75" s="99">
        <f t="shared" si="20"/>
        <v>4266.4510684931511</v>
      </c>
      <c r="W75" s="32">
        <f t="shared" si="21"/>
        <v>4351.7800898630139</v>
      </c>
      <c r="X75" s="32">
        <f t="shared" si="22"/>
        <v>4437.1091112328777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2010885</v>
      </c>
      <c r="R76" s="5" t="s">
        <v>4395</v>
      </c>
      <c r="S76" s="5">
        <f>S75-2</f>
        <v>95</v>
      </c>
      <c r="T76" s="5" t="s">
        <v>4401</v>
      </c>
      <c r="U76" s="168">
        <v>202.1</v>
      </c>
      <c r="V76" s="99">
        <f t="shared" si="20"/>
        <v>219.09190356164382</v>
      </c>
      <c r="W76" s="32">
        <f t="shared" si="21"/>
        <v>223.47374163287671</v>
      </c>
      <c r="X76" s="32">
        <f t="shared" si="22"/>
        <v>227.85557970410957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120</v>
      </c>
      <c r="AM76" s="117">
        <f t="shared" si="11"/>
        <v>-20400000</v>
      </c>
      <c r="AN76" s="20"/>
    </row>
    <row r="77" spans="1:40" ht="45">
      <c r="D77" s="1" t="s">
        <v>305</v>
      </c>
      <c r="E77" s="1">
        <v>70000</v>
      </c>
      <c r="K77" s="218" t="s">
        <v>4823</v>
      </c>
      <c r="L77" s="22" t="s">
        <v>4785</v>
      </c>
      <c r="M77" s="211" t="s">
        <v>4754</v>
      </c>
      <c r="N77" s="96"/>
      <c r="P77" s="115"/>
      <c r="Q77" s="35">
        <v>1994038</v>
      </c>
      <c r="R77" s="5" t="s">
        <v>4406</v>
      </c>
      <c r="S77" s="5">
        <f>S76-3</f>
        <v>92</v>
      </c>
      <c r="T77" s="5" t="s">
        <v>4423</v>
      </c>
      <c r="U77" s="168">
        <v>5560.3</v>
      </c>
      <c r="V77" s="99">
        <f t="shared" si="20"/>
        <v>6014.9954367123291</v>
      </c>
      <c r="W77" s="32">
        <f t="shared" si="21"/>
        <v>6135.295345446576</v>
      </c>
      <c r="X77" s="32">
        <f t="shared" si="22"/>
        <v>6255.5952541808228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K78" t="s">
        <v>4824</v>
      </c>
      <c r="M78" s="122"/>
      <c r="N78" s="96"/>
      <c r="P78" s="115" t="s">
        <v>25</v>
      </c>
      <c r="Q78" s="35">
        <v>444</v>
      </c>
      <c r="R78" s="5" t="s">
        <v>4406</v>
      </c>
      <c r="S78" s="5">
        <f>S77</f>
        <v>92</v>
      </c>
      <c r="T78" s="5" t="s">
        <v>4625</v>
      </c>
      <c r="U78" s="168">
        <v>441.8</v>
      </c>
      <c r="V78" s="99">
        <f t="shared" si="20"/>
        <v>477.92834630136991</v>
      </c>
      <c r="W78" s="32">
        <f t="shared" si="21"/>
        <v>487.48691322739734</v>
      </c>
      <c r="X78" s="32">
        <f t="shared" si="22"/>
        <v>497.04548015342471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K79" t="s">
        <v>4592</v>
      </c>
      <c r="L79" s="96"/>
      <c r="M79" s="122" t="s">
        <v>4590</v>
      </c>
      <c r="O79" t="s">
        <v>25</v>
      </c>
      <c r="P79" s="115"/>
      <c r="Q79" s="35">
        <v>1971103</v>
      </c>
      <c r="R79" s="5" t="s">
        <v>4418</v>
      </c>
      <c r="S79" s="5">
        <f>S78-1</f>
        <v>91</v>
      </c>
      <c r="T79" s="5" t="s">
        <v>4419</v>
      </c>
      <c r="U79" s="168">
        <v>196.2</v>
      </c>
      <c r="V79" s="99">
        <f t="shared" si="20"/>
        <v>212.09381260273975</v>
      </c>
      <c r="W79" s="32">
        <f t="shared" si="21"/>
        <v>216.33568885479454</v>
      </c>
      <c r="X79" s="32">
        <f t="shared" si="22"/>
        <v>220.57756510684933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233730448.79999998</v>
      </c>
      <c r="P80" s="115"/>
      <c r="Q80" s="35">
        <v>1049856</v>
      </c>
      <c r="R80" s="5" t="s">
        <v>4441</v>
      </c>
      <c r="S80" s="5">
        <f>S79-6</f>
        <v>85</v>
      </c>
      <c r="T80" s="5" t="s">
        <v>4480</v>
      </c>
      <c r="U80" s="168">
        <v>184.5</v>
      </c>
      <c r="V80" s="99">
        <f t="shared" si="20"/>
        <v>198.59681095890411</v>
      </c>
      <c r="W80" s="32">
        <f t="shared" si="21"/>
        <v>202.56874717808219</v>
      </c>
      <c r="X80" s="32">
        <f t="shared" si="22"/>
        <v>206.5406833972603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 ht="30">
      <c r="D81" s="31" t="s">
        <v>308</v>
      </c>
      <c r="E81" s="1">
        <v>300000</v>
      </c>
      <c r="K81" s="22" t="s">
        <v>4825</v>
      </c>
      <c r="M81" t="s">
        <v>4267</v>
      </c>
      <c r="P81" s="115"/>
      <c r="Q81" s="35">
        <v>1783234</v>
      </c>
      <c r="R81" s="5" t="s">
        <v>4443</v>
      </c>
      <c r="S81" s="5">
        <f>S80-2</f>
        <v>83</v>
      </c>
      <c r="T81" s="5" t="s">
        <v>4444</v>
      </c>
      <c r="U81" s="168">
        <v>177.5</v>
      </c>
      <c r="V81" s="99">
        <f t="shared" si="20"/>
        <v>190.78964383561646</v>
      </c>
      <c r="W81" s="32">
        <f t="shared" si="21"/>
        <v>194.60543671232878</v>
      </c>
      <c r="X81" s="32">
        <f t="shared" si="22"/>
        <v>198.42122958904113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19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1662335</v>
      </c>
      <c r="R82" s="5" t="s">
        <v>4447</v>
      </c>
      <c r="S82" s="5">
        <f>S81-5</f>
        <v>78</v>
      </c>
      <c r="T82" s="225" t="s">
        <v>4606</v>
      </c>
      <c r="U82" s="168">
        <v>190.3</v>
      </c>
      <c r="V82" s="99">
        <f t="shared" si="20"/>
        <v>203.81807780821921</v>
      </c>
      <c r="W82" s="32">
        <f t="shared" si="21"/>
        <v>207.8944393643836</v>
      </c>
      <c r="X82" s="32">
        <f t="shared" si="22"/>
        <v>211.97080092054799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499973</v>
      </c>
      <c r="R83" s="168" t="s">
        <v>4596</v>
      </c>
      <c r="S83" s="168">
        <f>S82-37</f>
        <v>41</v>
      </c>
      <c r="T83" s="73" t="s">
        <v>4597</v>
      </c>
      <c r="U83" s="168">
        <v>413</v>
      </c>
      <c r="V83" s="99">
        <f t="shared" si="20"/>
        <v>430.61529863013703</v>
      </c>
      <c r="W83" s="32">
        <f t="shared" si="21"/>
        <v>439.2276046027398</v>
      </c>
      <c r="X83" s="32">
        <f t="shared" si="22"/>
        <v>447.83991057534251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19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11869317</v>
      </c>
      <c r="R84" s="168" t="s">
        <v>4607</v>
      </c>
      <c r="S84" s="168">
        <f>S83-2</f>
        <v>39</v>
      </c>
      <c r="T84" s="168" t="s">
        <v>4608</v>
      </c>
      <c r="U84" s="168">
        <v>395600</v>
      </c>
      <c r="V84" s="99">
        <f t="shared" si="20"/>
        <v>411866.20493150683</v>
      </c>
      <c r="W84" s="32">
        <f t="shared" si="21"/>
        <v>420103.529030137</v>
      </c>
      <c r="X84" s="32">
        <f t="shared" si="22"/>
        <v>428340.85312876711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19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2272487</v>
      </c>
      <c r="R85" s="5" t="s">
        <v>4617</v>
      </c>
      <c r="S85" s="5">
        <f>S84-3</f>
        <v>36</v>
      </c>
      <c r="T85" s="5" t="s">
        <v>4618</v>
      </c>
      <c r="U85" s="168">
        <v>174.9</v>
      </c>
      <c r="V85" s="99">
        <f t="shared" si="20"/>
        <v>181.68899506849317</v>
      </c>
      <c r="W85" s="32">
        <f t="shared" si="21"/>
        <v>185.32277496986305</v>
      </c>
      <c r="X85" s="32">
        <f t="shared" si="22"/>
        <v>188.9565548712329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19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35">
        <v>3975257</v>
      </c>
      <c r="R86" s="5" t="s">
        <v>4623</v>
      </c>
      <c r="S86" s="5">
        <f>S85-1</f>
        <v>35</v>
      </c>
      <c r="T86" s="5" t="s">
        <v>4624</v>
      </c>
      <c r="U86" s="168">
        <v>173</v>
      </c>
      <c r="V86" s="99">
        <f t="shared" si="20"/>
        <v>179.58253150684934</v>
      </c>
      <c r="W86" s="32">
        <f t="shared" si="21"/>
        <v>183.17418213698633</v>
      </c>
      <c r="X86" s="32">
        <f t="shared" si="22"/>
        <v>186.76583276712333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19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1031662</v>
      </c>
      <c r="R87" s="5" t="s">
        <v>4234</v>
      </c>
      <c r="S87" s="5">
        <f>S86-1</f>
        <v>34</v>
      </c>
      <c r="T87" s="5" t="s">
        <v>4627</v>
      </c>
      <c r="U87" s="168">
        <v>171.2</v>
      </c>
      <c r="V87" s="99">
        <f t="shared" si="20"/>
        <v>177.5827112328767</v>
      </c>
      <c r="W87" s="32">
        <f t="shared" si="21"/>
        <v>181.13436545753424</v>
      </c>
      <c r="X87" s="32">
        <f t="shared" si="22"/>
        <v>184.68601968219178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19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34</v>
      </c>
      <c r="T88" s="168" t="s">
        <v>4629</v>
      </c>
      <c r="U88" s="168">
        <v>749</v>
      </c>
      <c r="V88" s="99">
        <f t="shared" si="20"/>
        <v>776.9243616438356</v>
      </c>
      <c r="W88" s="32">
        <f t="shared" si="21"/>
        <v>792.46284887671231</v>
      </c>
      <c r="X88" s="32">
        <f t="shared" si="22"/>
        <v>808.00133610958903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35">
        <v>577500</v>
      </c>
      <c r="R89" s="5" t="s">
        <v>4234</v>
      </c>
      <c r="S89" s="5">
        <f>S88</f>
        <v>34</v>
      </c>
      <c r="T89" s="5" t="s">
        <v>4632</v>
      </c>
      <c r="U89" s="168">
        <v>175</v>
      </c>
      <c r="V89" s="99">
        <f t="shared" si="20"/>
        <v>181.52438356164384</v>
      </c>
      <c r="W89" s="32">
        <f t="shared" si="21"/>
        <v>185.15487123287673</v>
      </c>
      <c r="X89" s="32">
        <f t="shared" si="22"/>
        <v>188.78535890410961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19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35">
        <v>12636487</v>
      </c>
      <c r="R90" s="5" t="s">
        <v>3691</v>
      </c>
      <c r="S90" s="5">
        <f>S89-2</f>
        <v>32</v>
      </c>
      <c r="T90" s="5" t="s">
        <v>4635</v>
      </c>
      <c r="U90" s="168">
        <v>172.1</v>
      </c>
      <c r="V90" s="99">
        <f t="shared" si="20"/>
        <v>178.25222136986304</v>
      </c>
      <c r="W90" s="32">
        <f t="shared" si="21"/>
        <v>181.81726579726029</v>
      </c>
      <c r="X90" s="32">
        <f t="shared" si="22"/>
        <v>185.38231022465757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19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169">
        <v>1210169</v>
      </c>
      <c r="R91" s="168" t="s">
        <v>4638</v>
      </c>
      <c r="S91" s="168">
        <f>S90-3</f>
        <v>29</v>
      </c>
      <c r="T91" s="168" t="s">
        <v>4639</v>
      </c>
      <c r="U91" s="168">
        <v>1204.7</v>
      </c>
      <c r="V91" s="99">
        <f t="shared" si="20"/>
        <v>1244.9930893150686</v>
      </c>
      <c r="W91" s="32">
        <f t="shared" si="21"/>
        <v>1269.89295110137</v>
      </c>
      <c r="X91" s="32">
        <f t="shared" si="22"/>
        <v>1294.7928128876713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19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12131182</v>
      </c>
      <c r="R92" s="5" t="s">
        <v>4638</v>
      </c>
      <c r="S92" s="5">
        <f>S91</f>
        <v>29</v>
      </c>
      <c r="T92" s="5" t="s">
        <v>4640</v>
      </c>
      <c r="U92" s="168">
        <v>171.8</v>
      </c>
      <c r="V92" s="99">
        <f t="shared" si="20"/>
        <v>177.54612164383562</v>
      </c>
      <c r="W92" s="32">
        <f t="shared" si="21"/>
        <v>181.09704407671234</v>
      </c>
      <c r="X92" s="32">
        <f t="shared" si="22"/>
        <v>184.64796650958905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35">
        <v>8978273</v>
      </c>
      <c r="R93" s="5" t="s">
        <v>4644</v>
      </c>
      <c r="S93" s="5">
        <f>S92-1</f>
        <v>28</v>
      </c>
      <c r="T93" s="5" t="s">
        <v>4645</v>
      </c>
      <c r="U93" s="168">
        <v>3405.9</v>
      </c>
      <c r="V93" s="99">
        <f t="shared" si="20"/>
        <v>3517.202945753425</v>
      </c>
      <c r="W93" s="32">
        <f t="shared" ref="W93:W131" si="23">V93*(1+$W$19/100)</f>
        <v>3587.5470046684936</v>
      </c>
      <c r="X93" s="32">
        <f t="shared" ref="X93:X131" si="24">V93*(1+$X$19/100)</f>
        <v>3657.8910635835623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169">
        <v>1013762</v>
      </c>
      <c r="R94" s="168" t="s">
        <v>4644</v>
      </c>
      <c r="S94" s="168">
        <f>S93</f>
        <v>28</v>
      </c>
      <c r="T94" s="168" t="s">
        <v>4647</v>
      </c>
      <c r="U94" s="168">
        <v>217.1</v>
      </c>
      <c r="V94" s="99">
        <f t="shared" si="20"/>
        <v>224.1947090410959</v>
      </c>
      <c r="W94" s="32">
        <f t="shared" si="23"/>
        <v>228.67860322191783</v>
      </c>
      <c r="X94" s="32">
        <f t="shared" si="24"/>
        <v>233.16249740273975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169">
        <v>12953846</v>
      </c>
      <c r="R95" s="168" t="s">
        <v>4644</v>
      </c>
      <c r="S95" s="168">
        <f>S94</f>
        <v>28</v>
      </c>
      <c r="T95" s="168" t="s">
        <v>4778</v>
      </c>
      <c r="U95" s="168">
        <v>4500.5</v>
      </c>
      <c r="V95" s="99">
        <f t="shared" si="20"/>
        <v>4647.573873972603</v>
      </c>
      <c r="W95" s="32">
        <f t="shared" si="23"/>
        <v>4740.5253514520555</v>
      </c>
      <c r="X95" s="32">
        <f t="shared" si="24"/>
        <v>4833.476828931507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35">
        <v>4068640</v>
      </c>
      <c r="R96" s="5" t="s">
        <v>4651</v>
      </c>
      <c r="S96" s="5">
        <f>S95-1</f>
        <v>27</v>
      </c>
      <c r="T96" s="5" t="s">
        <v>4652</v>
      </c>
      <c r="U96" s="168">
        <v>3322.3</v>
      </c>
      <c r="V96" s="99">
        <f t="shared" si="20"/>
        <v>3428.3223298630146</v>
      </c>
      <c r="W96" s="32">
        <f t="shared" si="23"/>
        <v>3496.888776460275</v>
      </c>
      <c r="X96" s="32">
        <f t="shared" si="24"/>
        <v>3565.4552230575355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12656982</v>
      </c>
      <c r="R97" s="5" t="s">
        <v>4651</v>
      </c>
      <c r="S97" s="5">
        <f>S96</f>
        <v>27</v>
      </c>
      <c r="T97" s="5" t="s">
        <v>4653</v>
      </c>
      <c r="U97" s="168">
        <v>5249.9</v>
      </c>
      <c r="V97" s="99">
        <f t="shared" si="20"/>
        <v>5417.4365347945213</v>
      </c>
      <c r="W97" s="32">
        <f t="shared" si="23"/>
        <v>5525.7852654904118</v>
      </c>
      <c r="X97" s="32">
        <f t="shared" si="24"/>
        <v>5634.1339961863023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169">
        <v>100905</v>
      </c>
      <c r="R98" s="168" t="s">
        <v>4654</v>
      </c>
      <c r="S98" s="168">
        <f>S97-1</f>
        <v>26</v>
      </c>
      <c r="T98" s="168" t="s">
        <v>4660</v>
      </c>
      <c r="U98" s="168">
        <v>372</v>
      </c>
      <c r="V98" s="99">
        <f t="shared" si="20"/>
        <v>383.58601643835618</v>
      </c>
      <c r="W98" s="32">
        <f t="shared" si="23"/>
        <v>391.25773676712333</v>
      </c>
      <c r="X98" s="32">
        <f t="shared" si="24"/>
        <v>398.92945709589043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35">
        <v>48637534</v>
      </c>
      <c r="R99" s="5" t="s">
        <v>4654</v>
      </c>
      <c r="S99" s="5">
        <f>S98</f>
        <v>26</v>
      </c>
      <c r="T99" s="5" t="s">
        <v>4658</v>
      </c>
      <c r="U99" s="168">
        <v>5330</v>
      </c>
      <c r="V99" s="99">
        <f t="shared" si="20"/>
        <v>5496.0039452054798</v>
      </c>
      <c r="W99" s="32">
        <f t="shared" si="23"/>
        <v>5605.9240241095895</v>
      </c>
      <c r="X99" s="32">
        <f t="shared" si="24"/>
        <v>5715.8441030136992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40048573</v>
      </c>
      <c r="R100" s="5" t="s">
        <v>4654</v>
      </c>
      <c r="S100" s="5">
        <f>S99</f>
        <v>26</v>
      </c>
      <c r="T100" s="5" t="s">
        <v>4659</v>
      </c>
      <c r="U100" s="168">
        <v>498.9</v>
      </c>
      <c r="V100" s="99">
        <f t="shared" si="20"/>
        <v>514.43834301369861</v>
      </c>
      <c r="W100" s="32">
        <f t="shared" si="23"/>
        <v>524.72710987397261</v>
      </c>
      <c r="X100" s="32">
        <f t="shared" si="24"/>
        <v>535.0158767342466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169">
        <v>1000495</v>
      </c>
      <c r="R101" s="168" t="s">
        <v>4670</v>
      </c>
      <c r="S101" s="168">
        <f>S100-1</f>
        <v>25</v>
      </c>
      <c r="T101" s="168" t="s">
        <v>4745</v>
      </c>
      <c r="U101" s="168">
        <v>724.8</v>
      </c>
      <c r="V101" s="99">
        <f t="shared" si="20"/>
        <v>746.81803397260273</v>
      </c>
      <c r="W101" s="32">
        <f t="shared" si="23"/>
        <v>761.75439465205477</v>
      </c>
      <c r="X101" s="32">
        <f t="shared" si="24"/>
        <v>776.69075533150692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35">
        <v>37856769</v>
      </c>
      <c r="R102" s="5" t="s">
        <v>4670</v>
      </c>
      <c r="S102" s="5">
        <f>S101</f>
        <v>25</v>
      </c>
      <c r="T102" s="5" t="s">
        <v>4672</v>
      </c>
      <c r="U102" s="168">
        <v>5393.6</v>
      </c>
      <c r="V102" s="99">
        <f t="shared" ref="V102:V127" si="26">U102*(1+$N$86+$Q$15*S102/36500)</f>
        <v>5557.44722410959</v>
      </c>
      <c r="W102" s="32">
        <f t="shared" si="23"/>
        <v>5668.5961685917819</v>
      </c>
      <c r="X102" s="32">
        <f t="shared" si="24"/>
        <v>5779.7451130739737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27457.440966501923</v>
      </c>
      <c r="G103" s="184">
        <f>P54</f>
        <v>182.1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300000000</v>
      </c>
      <c r="M103" s="221">
        <f>N21+N31+N54</f>
        <v>248803412.09999999</v>
      </c>
      <c r="N103" s="185">
        <f t="shared" ref="N103:N109" si="29">L103-M103</f>
        <v>51196587.900000006</v>
      </c>
      <c r="Q103" s="35">
        <v>155151</v>
      </c>
      <c r="R103" s="5" t="s">
        <v>4682</v>
      </c>
      <c r="S103" s="5">
        <f>S102-3</f>
        <v>22</v>
      </c>
      <c r="T103" s="5" t="s">
        <v>4684</v>
      </c>
      <c r="U103" s="168">
        <v>5325.9</v>
      </c>
      <c r="V103" s="99">
        <f t="shared" si="26"/>
        <v>5475.4337621917812</v>
      </c>
      <c r="W103" s="32">
        <f t="shared" si="23"/>
        <v>5584.9424374356167</v>
      </c>
      <c r="X103" s="32">
        <f t="shared" si="24"/>
        <v>5694.4511126794523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918.6616936446984</v>
      </c>
      <c r="G104" s="99">
        <f>P47</f>
        <v>5442.7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150000000</v>
      </c>
      <c r="M104" s="1">
        <f>N25+N47+N28</f>
        <v>119603332.5</v>
      </c>
      <c r="N104" s="113">
        <f t="shared" si="29"/>
        <v>30396667.5</v>
      </c>
      <c r="Q104" s="169">
        <v>109726</v>
      </c>
      <c r="R104" s="168" t="s">
        <v>4682</v>
      </c>
      <c r="S104" s="168">
        <f>S103</f>
        <v>22</v>
      </c>
      <c r="T104" s="168" t="s">
        <v>4685</v>
      </c>
      <c r="U104" s="168">
        <v>3900.7</v>
      </c>
      <c r="V104" s="99">
        <f t="shared" si="26"/>
        <v>4010.2188317808223</v>
      </c>
      <c r="W104" s="32">
        <f t="shared" si="23"/>
        <v>4090.4232084164387</v>
      </c>
      <c r="X104" s="32">
        <f t="shared" si="24"/>
        <v>4170.6275850520551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1476.886722788362</v>
      </c>
      <c r="G105" s="184">
        <f>P44</f>
        <v>3385.5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150000000</v>
      </c>
      <c r="M105" s="221">
        <f>N44+N29+N22</f>
        <v>104882790</v>
      </c>
      <c r="N105" s="185">
        <f t="shared" si="29"/>
        <v>45117210</v>
      </c>
      <c r="Q105" s="35">
        <v>8938737</v>
      </c>
      <c r="R105" s="5" t="s">
        <v>4688</v>
      </c>
      <c r="S105" s="5">
        <f>S104-1</f>
        <v>21</v>
      </c>
      <c r="T105" s="5" t="s">
        <v>4690</v>
      </c>
      <c r="U105" s="168">
        <v>5179.5</v>
      </c>
      <c r="V105" s="99">
        <f t="shared" si="26"/>
        <v>5320.9500164383562</v>
      </c>
      <c r="W105" s="32">
        <f t="shared" si="23"/>
        <v>5427.3690167671239</v>
      </c>
      <c r="X105" s="32">
        <f t="shared" si="24"/>
        <v>5533.7880170958906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9403.7991348504784</v>
      </c>
      <c r="G106" s="99">
        <f>P48</f>
        <v>531.70000000000005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150000000</v>
      </c>
      <c r="M106" s="1">
        <f>N48+N23+N30</f>
        <v>105706213.60000001</v>
      </c>
      <c r="N106" s="113">
        <f t="shared" si="29"/>
        <v>44293786.399999991</v>
      </c>
      <c r="Q106" s="35">
        <v>2595417</v>
      </c>
      <c r="R106" s="5" t="s">
        <v>4698</v>
      </c>
      <c r="S106" s="5">
        <f>S105-1</f>
        <v>20</v>
      </c>
      <c r="T106" s="5" t="s">
        <v>4699</v>
      </c>
      <c r="U106" s="168">
        <v>4803</v>
      </c>
      <c r="V106" s="99">
        <f t="shared" si="26"/>
        <v>4930.4834630136993</v>
      </c>
      <c r="W106" s="32">
        <f t="shared" si="23"/>
        <v>5029.0931322739734</v>
      </c>
      <c r="X106" s="32">
        <f t="shared" si="24"/>
        <v>5127.7028015342476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1009.4280580623018</v>
      </c>
      <c r="G107" s="184">
        <f>P50</f>
        <v>4953.3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95000000</v>
      </c>
      <c r="M107" s="221">
        <f>N50</f>
        <v>14428962.9</v>
      </c>
      <c r="N107" s="185">
        <f t="shared" si="29"/>
        <v>80571037.099999994</v>
      </c>
      <c r="Q107" s="169">
        <v>2505816</v>
      </c>
      <c r="R107" s="168" t="s">
        <v>4698</v>
      </c>
      <c r="S107" s="168">
        <f>S106</f>
        <v>20</v>
      </c>
      <c r="T107" s="168" t="s">
        <v>4700</v>
      </c>
      <c r="U107" s="168">
        <v>3723</v>
      </c>
      <c r="V107" s="99">
        <f t="shared" si="26"/>
        <v>3821.8176000000003</v>
      </c>
      <c r="W107" s="32">
        <f t="shared" si="23"/>
        <v>3898.2539520000005</v>
      </c>
      <c r="X107" s="32">
        <f t="shared" si="24"/>
        <v>3974.6903040000007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1206.5054775348681</v>
      </c>
      <c r="G108" s="99">
        <f>P49</f>
        <v>4144.2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95000000</v>
      </c>
      <c r="M108" s="1">
        <f>N49+N24</f>
        <v>86493598.199999988</v>
      </c>
      <c r="N108" s="113">
        <f t="shared" si="29"/>
        <v>8506401.8000000119</v>
      </c>
      <c r="Q108" s="169">
        <v>183283</v>
      </c>
      <c r="R108" s="215" t="s">
        <v>4702</v>
      </c>
      <c r="S108" s="215">
        <f>S107-1</f>
        <v>19</v>
      </c>
      <c r="T108" s="215" t="s">
        <v>4716</v>
      </c>
      <c r="U108" s="215">
        <v>347.5</v>
      </c>
      <c r="V108" s="99">
        <f t="shared" si="26"/>
        <v>356.45693150684929</v>
      </c>
      <c r="W108" s="32">
        <f t="shared" si="23"/>
        <v>363.58607013698628</v>
      </c>
      <c r="X108" s="32">
        <f t="shared" si="24"/>
        <v>370.71520876712327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25000000</v>
      </c>
      <c r="M109" s="221">
        <f>N45+N46+N51+N53+N52</f>
        <v>6848548.7999999998</v>
      </c>
      <c r="N109" s="185">
        <f t="shared" si="29"/>
        <v>18151451.199999999</v>
      </c>
      <c r="Q109" s="169">
        <v>177438</v>
      </c>
      <c r="R109" s="215" t="s">
        <v>4702</v>
      </c>
      <c r="S109" s="215">
        <f t="shared" ref="S109:S113" si="30">S108</f>
        <v>19</v>
      </c>
      <c r="T109" s="215" t="s">
        <v>4711</v>
      </c>
      <c r="U109" s="215">
        <v>207.3</v>
      </c>
      <c r="V109" s="99">
        <f t="shared" si="26"/>
        <v>212.6432284931507</v>
      </c>
      <c r="W109" s="32">
        <f t="shared" si="23"/>
        <v>216.89609306301372</v>
      </c>
      <c r="X109" s="32">
        <f t="shared" si="24"/>
        <v>221.14895763287674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559461</v>
      </c>
      <c r="R110" s="5" t="s">
        <v>4702</v>
      </c>
      <c r="S110" s="5">
        <f t="shared" si="30"/>
        <v>19</v>
      </c>
      <c r="T110" s="5" t="s">
        <v>4712</v>
      </c>
      <c r="U110" s="215">
        <v>508.1</v>
      </c>
      <c r="V110" s="99">
        <f t="shared" si="26"/>
        <v>521.19645150684937</v>
      </c>
      <c r="W110" s="32">
        <f t="shared" si="23"/>
        <v>531.62038053698632</v>
      </c>
      <c r="X110" s="32">
        <f t="shared" si="24"/>
        <v>542.04430956712338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39</v>
      </c>
      <c r="L111" s="39">
        <f>10*P55</f>
        <v>5000000</v>
      </c>
      <c r="M111" s="221">
        <f>K111*L111</f>
        <v>195000000</v>
      </c>
      <c r="N111" s="185">
        <f>SUM(N103:N109)-M111</f>
        <v>83233141.900000036</v>
      </c>
      <c r="Q111" s="35">
        <v>169080</v>
      </c>
      <c r="R111" s="5" t="s">
        <v>4702</v>
      </c>
      <c r="S111" s="5">
        <f t="shared" si="30"/>
        <v>19</v>
      </c>
      <c r="T111" s="5" t="s">
        <v>4713</v>
      </c>
      <c r="U111" s="215">
        <v>168.3</v>
      </c>
      <c r="V111" s="99">
        <f t="shared" si="26"/>
        <v>172.6379901369863</v>
      </c>
      <c r="W111" s="32">
        <f t="shared" si="23"/>
        <v>176.09074993972604</v>
      </c>
      <c r="X111" s="32">
        <f t="shared" si="24"/>
        <v>179.54350974246577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4835</v>
      </c>
      <c r="L112" s="168" t="s">
        <v>4253</v>
      </c>
      <c r="M112" s="168" t="s">
        <v>4696</v>
      </c>
      <c r="N112" s="168" t="s">
        <v>4697</v>
      </c>
      <c r="Q112" s="35">
        <v>9376000</v>
      </c>
      <c r="R112" s="5" t="s">
        <v>4702</v>
      </c>
      <c r="S112" s="5">
        <f>S111</f>
        <v>19</v>
      </c>
      <c r="T112" s="5" t="s">
        <v>4714</v>
      </c>
      <c r="U112" s="215">
        <v>3184.1</v>
      </c>
      <c r="V112" s="99">
        <f t="shared" si="26"/>
        <v>3266.1712679452053</v>
      </c>
      <c r="W112" s="32">
        <f t="shared" si="23"/>
        <v>3331.4946933041097</v>
      </c>
      <c r="X112" s="32">
        <f t="shared" si="24"/>
        <v>3396.8181186630136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69">
        <v>128675</v>
      </c>
      <c r="R113" s="215" t="s">
        <v>4702</v>
      </c>
      <c r="S113" s="215">
        <f t="shared" si="30"/>
        <v>19</v>
      </c>
      <c r="T113" s="215" t="s">
        <v>4715</v>
      </c>
      <c r="U113" s="215">
        <v>699.9</v>
      </c>
      <c r="V113" s="99">
        <f t="shared" si="26"/>
        <v>717.94016219178081</v>
      </c>
      <c r="W113" s="32">
        <f t="shared" si="23"/>
        <v>732.29896543561642</v>
      </c>
      <c r="X113" s="32">
        <f t="shared" si="24"/>
        <v>746.65776867945203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35">
        <v>13100555</v>
      </c>
      <c r="R114" s="5" t="s">
        <v>4730</v>
      </c>
      <c r="S114" s="5">
        <f>S113-1</f>
        <v>18</v>
      </c>
      <c r="T114" s="5" t="s">
        <v>4733</v>
      </c>
      <c r="U114" s="215">
        <v>3180.5</v>
      </c>
      <c r="V114" s="99">
        <f t="shared" si="26"/>
        <v>3260.0386410958909</v>
      </c>
      <c r="W114" s="32">
        <f t="shared" si="23"/>
        <v>3325.2394139178086</v>
      </c>
      <c r="X114" s="32">
        <f t="shared" si="24"/>
        <v>3390.4401867397264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35">
        <v>622942</v>
      </c>
      <c r="R115" s="5" t="s">
        <v>4730</v>
      </c>
      <c r="S115" s="5">
        <f>S114</f>
        <v>18</v>
      </c>
      <c r="T115" s="5" t="s">
        <v>4734</v>
      </c>
      <c r="U115" s="215">
        <v>503.3</v>
      </c>
      <c r="V115" s="99">
        <f t="shared" si="26"/>
        <v>515.88663671232882</v>
      </c>
      <c r="W115" s="32">
        <f t="shared" si="23"/>
        <v>526.20436944657536</v>
      </c>
      <c r="X115" s="32">
        <f t="shared" si="24"/>
        <v>536.522102180822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35">
        <v>1472140</v>
      </c>
      <c r="R116" s="5" t="s">
        <v>4739</v>
      </c>
      <c r="S116" s="5">
        <f>S115-3</f>
        <v>15</v>
      </c>
      <c r="T116" s="5" t="s">
        <v>4743</v>
      </c>
      <c r="U116" s="168">
        <v>502</v>
      </c>
      <c r="V116" s="99">
        <f t="shared" si="26"/>
        <v>513.39883835616445</v>
      </c>
      <c r="W116" s="32">
        <f t="shared" si="23"/>
        <v>523.66681512328773</v>
      </c>
      <c r="X116" s="32">
        <f t="shared" si="24"/>
        <v>533.93479189041102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35">
        <v>4394591</v>
      </c>
      <c r="R117" s="5" t="s">
        <v>4746</v>
      </c>
      <c r="S117" s="5">
        <f>S116-1</f>
        <v>14</v>
      </c>
      <c r="T117" s="5" t="s">
        <v>4747</v>
      </c>
      <c r="U117" s="168">
        <v>481.7</v>
      </c>
      <c r="V117" s="99">
        <f t="shared" si="26"/>
        <v>492.26836602739735</v>
      </c>
      <c r="W117" s="32">
        <f t="shared" si="23"/>
        <v>502.1137333479453</v>
      </c>
      <c r="X117" s="32">
        <f t="shared" si="24"/>
        <v>511.95910066849325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4085110</v>
      </c>
      <c r="R118" s="19" t="s">
        <v>4749</v>
      </c>
      <c r="S118" s="19">
        <f>S117-1</f>
        <v>13</v>
      </c>
      <c r="T118" s="19" t="s">
        <v>4750</v>
      </c>
      <c r="U118" s="219">
        <v>3115.9</v>
      </c>
      <c r="V118" s="99">
        <f t="shared" si="26"/>
        <v>3181.8717128767125</v>
      </c>
      <c r="W118" s="32">
        <f t="shared" si="23"/>
        <v>3245.5091471342466</v>
      </c>
      <c r="X118" s="32">
        <f t="shared" si="24"/>
        <v>3309.1465813917812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205386</v>
      </c>
      <c r="R119" s="19" t="s">
        <v>4751</v>
      </c>
      <c r="S119" s="19">
        <f>S118</f>
        <v>13</v>
      </c>
      <c r="T119" s="19" t="s">
        <v>4752</v>
      </c>
      <c r="U119" s="219">
        <v>178.1</v>
      </c>
      <c r="V119" s="99">
        <f t="shared" si="26"/>
        <v>181.87084054794522</v>
      </c>
      <c r="W119" s="32">
        <f t="shared" si="23"/>
        <v>185.50825735890413</v>
      </c>
      <c r="X119" s="32">
        <f t="shared" si="24"/>
        <v>189.14567416986304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101496</v>
      </c>
      <c r="R120" s="19" t="s">
        <v>4753</v>
      </c>
      <c r="S120" s="19">
        <f>S119-1</f>
        <v>12</v>
      </c>
      <c r="T120" s="19" t="s">
        <v>4755</v>
      </c>
      <c r="U120" s="219">
        <v>168.1</v>
      </c>
      <c r="V120" s="99">
        <f t="shared" si="26"/>
        <v>171.53016109589043</v>
      </c>
      <c r="W120" s="32">
        <f t="shared" si="23"/>
        <v>174.96076431780824</v>
      </c>
      <c r="X120" s="32">
        <f t="shared" si="24"/>
        <v>178.39136753972605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8398607</v>
      </c>
      <c r="R121" s="19" t="s">
        <v>4765</v>
      </c>
      <c r="S121" s="19">
        <f>S120-7</f>
        <v>5</v>
      </c>
      <c r="T121" s="19" t="s">
        <v>4767</v>
      </c>
      <c r="U121" s="219">
        <v>3120.5</v>
      </c>
      <c r="V121" s="99">
        <f t="shared" si="26"/>
        <v>3167.418641095891</v>
      </c>
      <c r="W121" s="32">
        <f t="shared" si="23"/>
        <v>3230.767013917809</v>
      </c>
      <c r="X121" s="32">
        <f t="shared" si="24"/>
        <v>3294.1153867397265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18565999</v>
      </c>
      <c r="R122" s="19" t="s">
        <v>4768</v>
      </c>
      <c r="S122" s="19">
        <f>S121-1</f>
        <v>4</v>
      </c>
      <c r="T122" s="19" t="s">
        <v>4777</v>
      </c>
      <c r="U122" s="219">
        <v>3112.4</v>
      </c>
      <c r="V122" s="99">
        <f t="shared" si="26"/>
        <v>3156.8092580821926</v>
      </c>
      <c r="W122" s="32">
        <f t="shared" si="23"/>
        <v>3219.9454432438365</v>
      </c>
      <c r="X122" s="32">
        <f t="shared" si="24"/>
        <v>3283.0816284054804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8381048</v>
      </c>
      <c r="R123" s="19" t="s">
        <v>4782</v>
      </c>
      <c r="S123" s="19">
        <f>S122-3</f>
        <v>1</v>
      </c>
      <c r="T123" s="19" t="s">
        <v>4808</v>
      </c>
      <c r="U123" s="219">
        <v>489</v>
      </c>
      <c r="V123" s="99">
        <f t="shared" si="26"/>
        <v>494.85192328767124</v>
      </c>
      <c r="W123" s="32">
        <f t="shared" si="23"/>
        <v>504.74896175342468</v>
      </c>
      <c r="X123" s="32">
        <f t="shared" si="24"/>
        <v>514.64600021917806</v>
      </c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>
        <v>164801</v>
      </c>
      <c r="R124" s="19" t="s">
        <v>4796</v>
      </c>
      <c r="S124" s="19">
        <f>S123-2</f>
        <v>-1</v>
      </c>
      <c r="T124" s="19" t="s">
        <v>4801</v>
      </c>
      <c r="U124" s="219">
        <v>3095.1</v>
      </c>
      <c r="V124" s="99">
        <f t="shared" si="26"/>
        <v>3127.3907967123291</v>
      </c>
      <c r="W124" s="32">
        <f t="shared" si="23"/>
        <v>3189.9386126465756</v>
      </c>
      <c r="X124" s="32">
        <f t="shared" si="24"/>
        <v>3252.4864285808226</v>
      </c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17">
        <v>223613</v>
      </c>
      <c r="R125" s="19" t="s">
        <v>4796</v>
      </c>
      <c r="S125" s="19">
        <f>S124</f>
        <v>-1</v>
      </c>
      <c r="T125" s="19" t="s">
        <v>4802</v>
      </c>
      <c r="U125" s="219">
        <v>4637.1000000000004</v>
      </c>
      <c r="V125" s="99">
        <f t="shared" si="26"/>
        <v>4685.478292602741</v>
      </c>
      <c r="W125" s="32">
        <f t="shared" si="23"/>
        <v>4779.1878584547958</v>
      </c>
      <c r="X125" s="32">
        <f t="shared" si="24"/>
        <v>4872.8974243068506</v>
      </c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17">
        <v>989631</v>
      </c>
      <c r="R126" s="19" t="s">
        <v>4796</v>
      </c>
      <c r="S126" s="19">
        <f>S125</f>
        <v>-1</v>
      </c>
      <c r="T126" s="19" t="s">
        <v>4803</v>
      </c>
      <c r="U126" s="219">
        <v>3863</v>
      </c>
      <c r="V126" s="99">
        <f t="shared" si="26"/>
        <v>3903.3022027397269</v>
      </c>
      <c r="W126" s="32">
        <f t="shared" si="23"/>
        <v>3981.3682467945214</v>
      </c>
      <c r="X126" s="32">
        <f t="shared" si="24"/>
        <v>4059.4342908493163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7">
        <v>441608</v>
      </c>
      <c r="R127" s="19" t="s">
        <v>4796</v>
      </c>
      <c r="S127" s="19">
        <f>S126</f>
        <v>-1</v>
      </c>
      <c r="T127" s="19" t="s">
        <v>4804</v>
      </c>
      <c r="U127" s="219">
        <v>169</v>
      </c>
      <c r="V127" s="99">
        <f t="shared" si="26"/>
        <v>170.76315616438359</v>
      </c>
      <c r="W127" s="32">
        <f t="shared" si="23"/>
        <v>174.17841928767126</v>
      </c>
      <c r="X127" s="32">
        <f t="shared" si="24"/>
        <v>177.59368241095893</v>
      </c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117">
        <v>5001091</v>
      </c>
      <c r="R128" s="19" t="s">
        <v>4807</v>
      </c>
      <c r="S128" s="19">
        <f>S127-1</f>
        <v>-2</v>
      </c>
      <c r="T128" s="19" t="s">
        <v>4809</v>
      </c>
      <c r="U128" s="219"/>
      <c r="V128" s="99"/>
      <c r="W128" s="32"/>
      <c r="X128" s="32"/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Q129" s="117"/>
      <c r="R129" s="19"/>
      <c r="S129" s="19"/>
      <c r="T129" s="19"/>
      <c r="U129" s="219"/>
      <c r="V129" s="99"/>
      <c r="W129" s="32"/>
      <c r="X129" s="32"/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Q130" s="169"/>
      <c r="R130" s="168"/>
      <c r="S130" s="168"/>
      <c r="T130" s="168"/>
      <c r="U130" s="168"/>
      <c r="V130" s="99"/>
      <c r="W130" s="32"/>
      <c r="X130" s="32"/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Q131" s="169"/>
      <c r="R131" s="168"/>
      <c r="S131" s="168"/>
      <c r="T131" s="168"/>
      <c r="U131" s="168"/>
      <c r="V131" s="99">
        <f>U131*(1+$N$86+$Q$15*S131/36500)</f>
        <v>0</v>
      </c>
      <c r="W131" s="32">
        <f t="shared" si="23"/>
        <v>0</v>
      </c>
      <c r="X131" s="32">
        <f t="shared" si="24"/>
        <v>0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Q132" s="113">
        <f>SUM(N44:N55)-SUM(Q70:Q131)</f>
        <v>3378297</v>
      </c>
      <c r="R132" s="112"/>
      <c r="S132" s="112"/>
      <c r="T132" s="112"/>
      <c r="U132" s="168"/>
      <c r="V132" s="99" t="s">
        <v>25</v>
      </c>
      <c r="W132" s="32"/>
      <c r="X132" s="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Q133" s="26"/>
      <c r="R133" s="182"/>
      <c r="S133" s="182"/>
      <c r="T133" t="s">
        <v>25</v>
      </c>
      <c r="U133" s="96" t="s">
        <v>25</v>
      </c>
      <c r="V133" s="96" t="s">
        <v>25</v>
      </c>
      <c r="W133" s="96" t="s">
        <v>25</v>
      </c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R134" s="32" t="s">
        <v>4584</v>
      </c>
      <c r="S134" s="32" t="s">
        <v>950</v>
      </c>
      <c r="T134" t="s">
        <v>25</v>
      </c>
      <c r="U134" s="96" t="s">
        <v>25</v>
      </c>
      <c r="V134" s="96" t="s">
        <v>25</v>
      </c>
      <c r="W134" s="96" t="s">
        <v>25</v>
      </c>
      <c r="X134" s="122" t="s">
        <v>25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R135" s="32">
        <v>27060</v>
      </c>
      <c r="S135" s="169">
        <v>13293737</v>
      </c>
      <c r="U135" s="96" t="s">
        <v>25</v>
      </c>
      <c r="V135" s="122" t="s">
        <v>25</v>
      </c>
      <c r="X135" t="s">
        <v>25</v>
      </c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t="s">
        <v>25</v>
      </c>
      <c r="R136" s="32">
        <v>10000</v>
      </c>
      <c r="S136" s="1">
        <f>S135*R136/R135</f>
        <v>4912689.2091648187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R137" s="32">
        <f>R135-R136</f>
        <v>17060</v>
      </c>
      <c r="S137" s="1">
        <f>R137*S135/R135</f>
        <v>8381047.7908351813</v>
      </c>
      <c r="V137" s="96"/>
      <c r="W137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V138" s="96"/>
      <c r="W138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99" t="s">
        <v>4466</v>
      </c>
      <c r="R139" s="99" t="s">
        <v>4468</v>
      </c>
      <c r="S139" s="99"/>
      <c r="T139" s="99" t="s">
        <v>4469</v>
      </c>
      <c r="U139" s="99"/>
      <c r="V139" s="99"/>
      <c r="W139" s="99" t="s">
        <v>4587</v>
      </c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13">
        <v>1000</v>
      </c>
      <c r="R140" s="99">
        <v>0.25</v>
      </c>
      <c r="S140" s="99"/>
      <c r="T140" s="99">
        <f>1-R140</f>
        <v>0.75</v>
      </c>
      <c r="U140" s="99"/>
      <c r="V140" s="99"/>
      <c r="W140" s="99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P141">
        <f>159563+R143</f>
        <v>1451449</v>
      </c>
      <c r="Q141" s="168" t="s">
        <v>4453</v>
      </c>
      <c r="R141" s="168" t="s">
        <v>4471</v>
      </c>
      <c r="S141" s="168" t="s">
        <v>4473</v>
      </c>
      <c r="T141" s="168" t="s">
        <v>180</v>
      </c>
      <c r="U141" s="168" t="s">
        <v>4467</v>
      </c>
      <c r="V141" s="56" t="s">
        <v>4470</v>
      </c>
      <c r="W141" s="99"/>
      <c r="X141" s="115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 t="s">
        <v>751</v>
      </c>
      <c r="R142" s="56">
        <v>1688543</v>
      </c>
      <c r="S142" s="113">
        <f>R142*$T$203</f>
        <v>432142317.72881985</v>
      </c>
      <c r="T142" s="168" t="s">
        <v>4465</v>
      </c>
      <c r="U142" s="168">
        <f>$Q$140*$T$140*S142/$R$166</f>
        <v>416.82004397913414</v>
      </c>
      <c r="V142" s="95">
        <f>S142+U142</f>
        <v>432142734.54886383</v>
      </c>
      <c r="W142" s="99">
        <f>R142*100/U200</f>
        <v>55.576005863884546</v>
      </c>
      <c r="X142" s="224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168" t="s">
        <v>4455</v>
      </c>
      <c r="R143" s="56">
        <v>1291886</v>
      </c>
      <c r="S143" s="113">
        <f>R143*$T$203</f>
        <v>330627416.82113761</v>
      </c>
      <c r="T143" s="168" t="s">
        <v>4465</v>
      </c>
      <c r="U143" s="168">
        <f>$Q$140*$T$140*S143/$R$166+Q140*R140</f>
        <v>568.90451077409796</v>
      </c>
      <c r="V143" s="95">
        <f>S143+U143</f>
        <v>330627985.7256484</v>
      </c>
      <c r="W143" s="99">
        <f>R143*100/U200</f>
        <v>42.520601436546393</v>
      </c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168" t="s">
        <v>4454</v>
      </c>
      <c r="R144" s="56">
        <v>57830</v>
      </c>
      <c r="S144" s="113">
        <f>R144*$T$203</f>
        <v>14800209.55004264</v>
      </c>
      <c r="T144" s="168" t="s">
        <v>4465</v>
      </c>
      <c r="U144" s="168">
        <f>$Q$140*$T$140*S144/$R$166</f>
        <v>14.275445246767969</v>
      </c>
      <c r="V144" s="95">
        <f>S144+U144</f>
        <v>14800223.825487887</v>
      </c>
      <c r="W144" s="99">
        <f>R144*100/U200</f>
        <v>1.9033926995690624</v>
      </c>
      <c r="X144" s="115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/>
      <c r="R145" s="56"/>
      <c r="S145" s="168"/>
      <c r="T145" s="168"/>
      <c r="U145" s="168"/>
      <c r="V145" s="99"/>
      <c r="W145" s="99"/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168"/>
      <c r="R146" s="56"/>
      <c r="S146" s="168"/>
      <c r="T146" s="168"/>
      <c r="U146" s="168"/>
      <c r="V146" s="168"/>
      <c r="W146" s="99"/>
      <c r="X146" s="96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168"/>
      <c r="R147" s="168"/>
      <c r="S147" s="168"/>
      <c r="T147" s="168"/>
      <c r="U147" s="168"/>
      <c r="V147" s="168"/>
      <c r="W147" s="99"/>
      <c r="X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9"/>
      <c r="R148" s="99"/>
      <c r="S148" s="99"/>
      <c r="T148" s="99" t="s">
        <v>25</v>
      </c>
      <c r="U148" s="99"/>
      <c r="V148" s="99"/>
      <c r="W148" s="99"/>
      <c r="X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9"/>
      <c r="R149" s="99"/>
      <c r="S149" s="99"/>
      <c r="T149" s="99"/>
      <c r="U149" s="99"/>
      <c r="V149" s="99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/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96"/>
      <c r="S151" s="96"/>
      <c r="T151" s="96"/>
      <c r="V151" s="96"/>
      <c r="X151" s="115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6"/>
      <c r="R152" s="96"/>
      <c r="S152" s="96"/>
      <c r="T152" s="96"/>
      <c r="V152" s="96"/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6"/>
      <c r="R153" s="96"/>
      <c r="S153" s="96"/>
      <c r="T153" s="96" t="s">
        <v>25</v>
      </c>
      <c r="V153" s="96"/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6"/>
      <c r="R154" s="96"/>
      <c r="S154" s="96"/>
      <c r="T154" s="96"/>
      <c r="V154" s="96"/>
      <c r="AI154" t="s">
        <v>4064</v>
      </c>
      <c r="AJ154" s="114">
        <f>SUM(N42:N55)</f>
        <v>522880096</v>
      </c>
    </row>
    <row r="155" spans="16:44">
      <c r="Q155" s="96"/>
      <c r="R155" s="96"/>
      <c r="S155" s="96"/>
      <c r="T155" s="99" t="s">
        <v>180</v>
      </c>
      <c r="U155" s="99" t="s">
        <v>4489</v>
      </c>
      <c r="V155" s="99" t="s">
        <v>4490</v>
      </c>
      <c r="W155" s="99" t="s">
        <v>4500</v>
      </c>
      <c r="X155" s="99" t="s">
        <v>8</v>
      </c>
      <c r="AI155" t="s">
        <v>4136</v>
      </c>
      <c r="AJ155" s="114">
        <f>AJ154-AJ148</f>
        <v>33554010</v>
      </c>
      <c r="AM155" t="s">
        <v>25</v>
      </c>
    </row>
    <row r="156" spans="16:44">
      <c r="P156" s="114"/>
      <c r="Q156" s="36" t="s">
        <v>4583</v>
      </c>
      <c r="R156" s="95">
        <f>SUM(N44:N55)</f>
        <v>522878378</v>
      </c>
      <c r="T156" s="113" t="s">
        <v>4465</v>
      </c>
      <c r="U156" s="56">
        <v>1000000</v>
      </c>
      <c r="V156" s="113">
        <v>239.024</v>
      </c>
      <c r="W156" s="113">
        <f t="shared" ref="W156:W197" si="35">U156*V156</f>
        <v>239024000</v>
      </c>
      <c r="X156" s="99"/>
      <c r="AI156" t="s">
        <v>943</v>
      </c>
      <c r="AJ156" s="114">
        <f>AN148</f>
        <v>28229716.69483871</v>
      </c>
    </row>
    <row r="157" spans="16:44">
      <c r="P157" s="114"/>
      <c r="Q157" s="99" t="s">
        <v>4456</v>
      </c>
      <c r="R157" s="95">
        <f>SUM(N21:N25)</f>
        <v>174742594.59999999</v>
      </c>
      <c r="T157" s="168" t="s">
        <v>4447</v>
      </c>
      <c r="U157" s="56">
        <v>5904</v>
      </c>
      <c r="V157" s="113">
        <v>237.148</v>
      </c>
      <c r="W157" s="113">
        <f t="shared" si="35"/>
        <v>1400121.7919999999</v>
      </c>
      <c r="X157" s="99" t="s">
        <v>751</v>
      </c>
      <c r="AI157" t="s">
        <v>4065</v>
      </c>
      <c r="AJ157" s="114">
        <f>AJ154-AJ153</f>
        <v>5324293.3051612973</v>
      </c>
      <c r="AN157" t="s">
        <v>25</v>
      </c>
    </row>
    <row r="158" spans="16:44">
      <c r="Q158" s="99" t="s">
        <v>4457</v>
      </c>
      <c r="R158" s="95">
        <f>SUM(N28:N31)</f>
        <v>4145885.5</v>
      </c>
      <c r="T158" s="168" t="s">
        <v>4232</v>
      </c>
      <c r="U158" s="168">
        <v>1000</v>
      </c>
      <c r="V158" s="113">
        <v>247.393</v>
      </c>
      <c r="W158" s="113">
        <f t="shared" si="35"/>
        <v>247393</v>
      </c>
      <c r="X158" s="99" t="s">
        <v>751</v>
      </c>
      <c r="AM158" t="s">
        <v>25</v>
      </c>
    </row>
    <row r="159" spans="16:44">
      <c r="Q159" s="99" t="s">
        <v>4458</v>
      </c>
      <c r="R159" s="95">
        <f>N42</f>
        <v>1718</v>
      </c>
      <c r="T159" s="168" t="s">
        <v>4502</v>
      </c>
      <c r="U159" s="168">
        <v>8071</v>
      </c>
      <c r="V159" s="113">
        <v>247.797</v>
      </c>
      <c r="W159" s="113">
        <f t="shared" si="35"/>
        <v>1999969.5870000001</v>
      </c>
      <c r="X159" s="99" t="s">
        <v>4454</v>
      </c>
      <c r="AJ159" t="s">
        <v>25</v>
      </c>
    </row>
    <row r="160" spans="16:44">
      <c r="Q160" s="99" t="s">
        <v>4459</v>
      </c>
      <c r="R160" s="95">
        <f>N20</f>
        <v>74658515</v>
      </c>
      <c r="T160" s="168" t="s">
        <v>4502</v>
      </c>
      <c r="U160" s="168">
        <v>53672</v>
      </c>
      <c r="V160" s="113">
        <v>247.797</v>
      </c>
      <c r="W160" s="113">
        <f t="shared" si="35"/>
        <v>13299760.584000001</v>
      </c>
      <c r="X160" s="99" t="s">
        <v>452</v>
      </c>
    </row>
    <row r="161" spans="16:40">
      <c r="Q161" s="99" t="s">
        <v>4460</v>
      </c>
      <c r="R161" s="95">
        <f>N27</f>
        <v>2881</v>
      </c>
      <c r="T161" s="168" t="s">
        <v>4512</v>
      </c>
      <c r="U161" s="168">
        <v>4099</v>
      </c>
      <c r="V161" s="113">
        <v>243.93</v>
      </c>
      <c r="W161" s="113">
        <f t="shared" si="35"/>
        <v>999869.07000000007</v>
      </c>
      <c r="X161" s="99" t="s">
        <v>4454</v>
      </c>
    </row>
    <row r="162" spans="16:40">
      <c r="P162" s="114"/>
      <c r="Q162" s="99" t="s">
        <v>4472</v>
      </c>
      <c r="R162" s="95">
        <v>647539</v>
      </c>
      <c r="T162" s="168" t="s">
        <v>4512</v>
      </c>
      <c r="U162" s="168">
        <v>9301</v>
      </c>
      <c r="V162" s="113">
        <v>243.93</v>
      </c>
      <c r="W162" s="113">
        <f t="shared" si="35"/>
        <v>2268792.9300000002</v>
      </c>
      <c r="X162" s="99" t="s">
        <v>452</v>
      </c>
    </row>
    <row r="163" spans="16:40">
      <c r="Q163" s="99" t="s">
        <v>4708</v>
      </c>
      <c r="R163" s="95">
        <v>8469</v>
      </c>
      <c r="T163" s="168" t="s">
        <v>4519</v>
      </c>
      <c r="U163" s="168">
        <v>8334</v>
      </c>
      <c r="V163" s="113">
        <v>239.97</v>
      </c>
      <c r="W163" s="113">
        <f t="shared" si="35"/>
        <v>1999909.98</v>
      </c>
      <c r="X163" s="99" t="s">
        <v>4454</v>
      </c>
    </row>
    <row r="164" spans="16:40">
      <c r="Q164" s="99" t="s">
        <v>4764</v>
      </c>
      <c r="R164" s="95">
        <v>500000</v>
      </c>
      <c r="T164" s="168" t="s">
        <v>4231</v>
      </c>
      <c r="U164" s="168">
        <v>29041</v>
      </c>
      <c r="V164" s="113">
        <v>233.45</v>
      </c>
      <c r="W164" s="113">
        <f t="shared" si="35"/>
        <v>6779621.4499999993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4742</v>
      </c>
      <c r="R165" s="95">
        <v>-16036</v>
      </c>
      <c r="S165" s="115"/>
      <c r="T165" s="168" t="s">
        <v>994</v>
      </c>
      <c r="U165" s="168">
        <v>12337</v>
      </c>
      <c r="V165" s="113">
        <v>243.16300000000001</v>
      </c>
      <c r="W165" s="113">
        <f t="shared" si="35"/>
        <v>2999901.9310000003</v>
      </c>
      <c r="X165" s="99" t="s">
        <v>4454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4464</v>
      </c>
      <c r="R166" s="95">
        <f>SUM(R156:R165)</f>
        <v>777569944.10000002</v>
      </c>
      <c r="S166" s="122"/>
      <c r="T166" s="168" t="s">
        <v>4607</v>
      </c>
      <c r="U166" s="168">
        <v>-16118</v>
      </c>
      <c r="V166" s="113">
        <v>248.17</v>
      </c>
      <c r="W166" s="113">
        <f t="shared" si="35"/>
        <v>-4000004.0599999996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6"/>
      <c r="S167" s="115"/>
      <c r="T167" s="168" t="s">
        <v>4638</v>
      </c>
      <c r="U167" s="168">
        <v>101681</v>
      </c>
      <c r="V167" s="113">
        <v>246.5711</v>
      </c>
      <c r="W167" s="113">
        <f t="shared" si="35"/>
        <v>25071596.019099999</v>
      </c>
      <c r="X167" s="99" t="s">
        <v>452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Q168" s="96"/>
      <c r="R168" s="183"/>
      <c r="S168" s="115"/>
      <c r="T168" s="168" t="s">
        <v>4644</v>
      </c>
      <c r="U168" s="168">
        <v>66606</v>
      </c>
      <c r="V168" s="113">
        <v>251.131</v>
      </c>
      <c r="W168" s="113">
        <f t="shared" si="35"/>
        <v>16726831.386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R169" s="183"/>
      <c r="T169" s="168" t="s">
        <v>4651</v>
      </c>
      <c r="U169" s="168">
        <v>172025</v>
      </c>
      <c r="V169" s="113">
        <v>245.52809999999999</v>
      </c>
      <c r="W169" s="113">
        <f t="shared" si="35"/>
        <v>42236971.402499996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15"/>
      <c r="T170" s="168" t="s">
        <v>4651</v>
      </c>
      <c r="U170" s="168">
        <v>189227</v>
      </c>
      <c r="V170" s="113">
        <v>245.52809999999999</v>
      </c>
      <c r="W170" s="113">
        <f t="shared" si="35"/>
        <v>46460545.778700002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T171" s="168" t="s">
        <v>4654</v>
      </c>
      <c r="U171" s="168">
        <v>79720</v>
      </c>
      <c r="V171" s="113">
        <v>246.6568</v>
      </c>
      <c r="W171" s="113">
        <f t="shared" si="35"/>
        <v>19663480.096000001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9" t="s">
        <v>4454</v>
      </c>
      <c r="R172" s="99"/>
      <c r="T172" s="168" t="s">
        <v>4654</v>
      </c>
      <c r="U172" s="168">
        <v>79720</v>
      </c>
      <c r="V172" s="113">
        <v>246.6568</v>
      </c>
      <c r="W172" s="113">
        <f t="shared" si="35"/>
        <v>19663480.096000001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Q173" s="36" t="s">
        <v>180</v>
      </c>
      <c r="R173" s="99" t="s">
        <v>267</v>
      </c>
      <c r="T173" s="168" t="s">
        <v>4682</v>
      </c>
      <c r="U173" s="168">
        <v>17769</v>
      </c>
      <c r="V173" s="113">
        <v>246.17877999999999</v>
      </c>
      <c r="W173" s="113">
        <f t="shared" si="35"/>
        <v>4374350.7418200001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4447</v>
      </c>
      <c r="R174" s="95">
        <v>3000000</v>
      </c>
      <c r="T174" s="168" t="s">
        <v>4682</v>
      </c>
      <c r="U174" s="168">
        <v>17769</v>
      </c>
      <c r="V174" s="113">
        <v>246.17877999999999</v>
      </c>
      <c r="W174" s="113">
        <f t="shared" si="35"/>
        <v>4374350.7418200001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99" t="s">
        <v>4502</v>
      </c>
      <c r="R175" s="95">
        <v>2000000</v>
      </c>
      <c r="T175" s="168" t="s">
        <v>4688</v>
      </c>
      <c r="U175" s="168">
        <v>12438</v>
      </c>
      <c r="V175" s="113">
        <v>241.20465999999999</v>
      </c>
      <c r="W175" s="113">
        <f t="shared" si="35"/>
        <v>3000103.5610799999</v>
      </c>
      <c r="X175" s="99" t="s">
        <v>4454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4512</v>
      </c>
      <c r="R176" s="95">
        <v>1000000</v>
      </c>
      <c r="T176" s="168" t="s">
        <v>4698</v>
      </c>
      <c r="U176" s="168">
        <v>27363</v>
      </c>
      <c r="V176" s="113">
        <v>239.3886</v>
      </c>
      <c r="W176" s="113">
        <f t="shared" si="35"/>
        <v>6550390.2617999995</v>
      </c>
      <c r="X176" s="99" t="s">
        <v>751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4519</v>
      </c>
      <c r="R177" s="95">
        <v>2000000</v>
      </c>
      <c r="T177" s="168" t="s">
        <v>4698</v>
      </c>
      <c r="U177" s="168">
        <v>27363</v>
      </c>
      <c r="V177" s="113">
        <v>239.3886</v>
      </c>
      <c r="W177" s="113">
        <f t="shared" si="35"/>
        <v>6550390.2617999995</v>
      </c>
      <c r="X177" s="99" t="s">
        <v>452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994</v>
      </c>
      <c r="R178" s="95">
        <v>3000000</v>
      </c>
      <c r="T178" s="215" t="s">
        <v>4702</v>
      </c>
      <c r="U178" s="215">
        <v>27437</v>
      </c>
      <c r="V178" s="113">
        <v>242.4015</v>
      </c>
      <c r="W178" s="113">
        <f t="shared" si="35"/>
        <v>6650769.9555000002</v>
      </c>
      <c r="X178" s="99" t="s">
        <v>751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4688</v>
      </c>
      <c r="R179" s="95">
        <v>3000000</v>
      </c>
      <c r="T179" s="215" t="s">
        <v>4702</v>
      </c>
      <c r="U179" s="215">
        <v>29104</v>
      </c>
      <c r="V179" s="113">
        <v>242.4015</v>
      </c>
      <c r="W179" s="113">
        <f t="shared" si="35"/>
        <v>7054853.2560000001</v>
      </c>
      <c r="X179" s="99" t="s">
        <v>452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/>
      <c r="R180" s="95"/>
      <c r="T180" s="219" t="s">
        <v>4746</v>
      </c>
      <c r="U180" s="219">
        <v>8991</v>
      </c>
      <c r="V180" s="113">
        <v>238.64867000000001</v>
      </c>
      <c r="W180" s="113">
        <f t="shared" si="35"/>
        <v>2145690.19197</v>
      </c>
      <c r="X180" s="99" t="s">
        <v>751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/>
      <c r="R181" s="95"/>
      <c r="T181" s="219" t="s">
        <v>4746</v>
      </c>
      <c r="U181" s="219">
        <v>8991</v>
      </c>
      <c r="V181" s="113">
        <v>238.64867000000001</v>
      </c>
      <c r="W181" s="113">
        <f t="shared" si="35"/>
        <v>2145690.19197</v>
      </c>
      <c r="X181" s="99" t="s">
        <v>452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>
        <f>SUM(R174:R179)</f>
        <v>14000000</v>
      </c>
      <c r="T182" s="219" t="s">
        <v>4763</v>
      </c>
      <c r="U182" s="219">
        <v>18170</v>
      </c>
      <c r="V182" s="113">
        <v>240.48475999999999</v>
      </c>
      <c r="W182" s="113">
        <f t="shared" si="35"/>
        <v>4369608.0892000003</v>
      </c>
      <c r="X182" s="99" t="s">
        <v>751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9" t="s">
        <v>6</v>
      </c>
      <c r="S183" t="s">
        <v>25</v>
      </c>
      <c r="T183" s="219" t="s">
        <v>4763</v>
      </c>
      <c r="U183" s="219">
        <v>18170</v>
      </c>
      <c r="V183" s="113">
        <v>240.48475999999999</v>
      </c>
      <c r="W183" s="113">
        <f t="shared" si="35"/>
        <v>4369608.0892000003</v>
      </c>
      <c r="X183" s="99" t="s">
        <v>452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T184" s="219" t="s">
        <v>4768</v>
      </c>
      <c r="U184" s="219">
        <v>36797</v>
      </c>
      <c r="V184" s="113">
        <v>239.0822</v>
      </c>
      <c r="W184" s="113">
        <f t="shared" si="35"/>
        <v>8797507.7134000007</v>
      </c>
      <c r="X184" s="99" t="s">
        <v>751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6"/>
      <c r="R185" s="96"/>
      <c r="T185" s="219" t="s">
        <v>4768</v>
      </c>
      <c r="U185" s="219">
        <v>36797</v>
      </c>
      <c r="V185" s="113">
        <v>239.0822</v>
      </c>
      <c r="W185" s="113">
        <f t="shared" si="35"/>
        <v>8797507.7134000007</v>
      </c>
      <c r="X185" s="99" t="s">
        <v>452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Q186" s="96"/>
      <c r="R186" s="96"/>
      <c r="T186" s="219" t="s">
        <v>4782</v>
      </c>
      <c r="U186" s="219">
        <v>28066</v>
      </c>
      <c r="V186" s="113">
        <v>237.56970000000001</v>
      </c>
      <c r="W186" s="113">
        <f t="shared" si="35"/>
        <v>6667631.2002000008</v>
      </c>
      <c r="X186" s="99" t="s">
        <v>751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T187" s="219" t="s">
        <v>4782</v>
      </c>
      <c r="U187" s="219">
        <v>28066</v>
      </c>
      <c r="V187" s="113">
        <v>237.56970000000001</v>
      </c>
      <c r="W187" s="113">
        <f t="shared" si="35"/>
        <v>6667631.2002000008</v>
      </c>
      <c r="X187" s="99" t="s">
        <v>452</v>
      </c>
      <c r="Z187" t="s">
        <v>25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9" t="s">
        <v>751</v>
      </c>
      <c r="R188" s="99"/>
      <c r="T188" s="219" t="s">
        <v>3684</v>
      </c>
      <c r="U188" s="219">
        <v>37457</v>
      </c>
      <c r="V188" s="113">
        <v>239.77</v>
      </c>
      <c r="W188" s="113">
        <f t="shared" si="35"/>
        <v>8981064.8900000006</v>
      </c>
      <c r="X188" s="99" t="s">
        <v>751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Q189" s="99" t="s">
        <v>4447</v>
      </c>
      <c r="R189" s="95">
        <v>172908000</v>
      </c>
      <c r="T189" s="219" t="s">
        <v>3684</v>
      </c>
      <c r="U189" s="219">
        <v>37457</v>
      </c>
      <c r="V189" s="113">
        <v>239.77</v>
      </c>
      <c r="W189" s="113">
        <f t="shared" si="35"/>
        <v>8981064.8900000006</v>
      </c>
      <c r="X189" s="99" t="s">
        <v>452</v>
      </c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4488</v>
      </c>
      <c r="R190" s="95">
        <v>1400000</v>
      </c>
      <c r="T190" s="219" t="s">
        <v>4796</v>
      </c>
      <c r="U190" s="219">
        <v>38412</v>
      </c>
      <c r="V190" s="113">
        <v>239.03</v>
      </c>
      <c r="W190" s="113">
        <f t="shared" si="35"/>
        <v>9181620.3599999994</v>
      </c>
      <c r="X190" s="99" t="s">
        <v>751</v>
      </c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4232</v>
      </c>
      <c r="R191" s="95">
        <v>247393</v>
      </c>
      <c r="T191" s="219" t="s">
        <v>4796</v>
      </c>
      <c r="U191" s="219">
        <v>38412</v>
      </c>
      <c r="V191" s="113">
        <v>239.03</v>
      </c>
      <c r="W191" s="113">
        <f t="shared" si="35"/>
        <v>9181620.3599999994</v>
      </c>
      <c r="X191" s="99" t="s">
        <v>452</v>
      </c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4231</v>
      </c>
      <c r="R192" s="95">
        <v>6780000</v>
      </c>
      <c r="T192" s="219" t="s">
        <v>4807</v>
      </c>
      <c r="U192" s="219">
        <v>49555</v>
      </c>
      <c r="V192" s="113">
        <v>238.345</v>
      </c>
      <c r="W192" s="113">
        <f t="shared" si="35"/>
        <v>11811186.475</v>
      </c>
      <c r="X192" s="99" t="s">
        <v>751</v>
      </c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4607</v>
      </c>
      <c r="R193" s="95">
        <v>-4000000</v>
      </c>
      <c r="T193" s="219" t="s">
        <v>4807</v>
      </c>
      <c r="U193" s="219">
        <v>49555</v>
      </c>
      <c r="V193" s="113">
        <v>238.345</v>
      </c>
      <c r="W193" s="113">
        <f t="shared" si="35"/>
        <v>11811186.475</v>
      </c>
      <c r="X193" s="99" t="s">
        <v>452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4644</v>
      </c>
      <c r="R194" s="95">
        <v>16727037</v>
      </c>
      <c r="T194" s="219" t="s">
        <v>4828</v>
      </c>
      <c r="U194" s="219">
        <v>160187</v>
      </c>
      <c r="V194" s="113">
        <v>257.49799999999999</v>
      </c>
      <c r="W194" s="113">
        <f t="shared" si="35"/>
        <v>41247832.126000002</v>
      </c>
      <c r="X194" s="99" t="s">
        <v>751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4651</v>
      </c>
      <c r="R195" s="95">
        <v>46460683</v>
      </c>
      <c r="T195" s="219" t="s">
        <v>4828</v>
      </c>
      <c r="U195" s="219">
        <v>160187</v>
      </c>
      <c r="V195" s="113">
        <v>257.49799999999999</v>
      </c>
      <c r="W195" s="113">
        <f t="shared" si="35"/>
        <v>41247832.126000002</v>
      </c>
      <c r="X195" s="99" t="s">
        <v>452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4654</v>
      </c>
      <c r="R196" s="95">
        <v>19663646</v>
      </c>
      <c r="S196" t="s">
        <v>25</v>
      </c>
      <c r="T196" s="219" t="s">
        <v>4839</v>
      </c>
      <c r="U196" s="219">
        <v>159563</v>
      </c>
      <c r="V196" s="113">
        <v>258.5061</v>
      </c>
      <c r="W196" s="113">
        <f t="shared" si="35"/>
        <v>41248008.834300004</v>
      </c>
      <c r="X196" s="99" t="s">
        <v>751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4784</v>
      </c>
    </row>
    <row r="197" spans="17:44">
      <c r="Q197" s="99" t="s">
        <v>4682</v>
      </c>
      <c r="R197" s="95">
        <v>4374525</v>
      </c>
      <c r="T197" s="219" t="s">
        <v>4839</v>
      </c>
      <c r="U197" s="219">
        <v>159563</v>
      </c>
      <c r="V197" s="113">
        <v>258.5061</v>
      </c>
      <c r="W197" s="113">
        <f t="shared" si="35"/>
        <v>41248008.834300004</v>
      </c>
      <c r="X197" s="99" t="s">
        <v>452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4789</v>
      </c>
      <c r="AQ197" t="s">
        <v>25</v>
      </c>
    </row>
    <row r="198" spans="17:44">
      <c r="Q198" s="99" t="s">
        <v>4698</v>
      </c>
      <c r="R198" s="95">
        <v>6550580</v>
      </c>
      <c r="T198" s="168"/>
      <c r="U198" s="168"/>
      <c r="V198" s="113"/>
      <c r="W198" s="113"/>
      <c r="X198" s="99"/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4789</v>
      </c>
    </row>
    <row r="199" spans="17:44">
      <c r="Q199" s="99" t="s">
        <v>4702</v>
      </c>
      <c r="R199" s="95">
        <v>6650895</v>
      </c>
      <c r="T199" s="168"/>
      <c r="U199" s="168"/>
      <c r="V199" s="113"/>
      <c r="W199" s="113"/>
      <c r="X199" s="99"/>
      <c r="AH199" s="121">
        <v>35</v>
      </c>
      <c r="AI199" s="121" t="s">
        <v>4796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4806</v>
      </c>
    </row>
    <row r="200" spans="17:44">
      <c r="Q200" s="99" t="s">
        <v>4746</v>
      </c>
      <c r="R200" s="95">
        <v>2145814</v>
      </c>
      <c r="S200" t="s">
        <v>25</v>
      </c>
      <c r="T200" s="168"/>
      <c r="U200" s="168">
        <f>SUM(U156:U199)</f>
        <v>3038259</v>
      </c>
      <c r="V200" s="99"/>
      <c r="W200" s="99"/>
      <c r="X200" s="99"/>
      <c r="AH200" s="121">
        <v>36</v>
      </c>
      <c r="AI200" s="121" t="s">
        <v>4826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4829</v>
      </c>
      <c r="AR200" t="s">
        <v>25</v>
      </c>
    </row>
    <row r="201" spans="17:44">
      <c r="Q201" s="99" t="s">
        <v>4763</v>
      </c>
      <c r="R201" s="95">
        <v>4369730</v>
      </c>
      <c r="T201" s="99"/>
      <c r="U201" s="99" t="s">
        <v>6</v>
      </c>
      <c r="V201" s="99"/>
      <c r="W201" s="99"/>
      <c r="X201" s="99"/>
      <c r="AH201" s="121">
        <v>37</v>
      </c>
      <c r="AI201" s="121" t="s">
        <v>4828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4838</v>
      </c>
    </row>
    <row r="202" spans="17:44">
      <c r="Q202" s="99" t="s">
        <v>4768</v>
      </c>
      <c r="R202" s="95">
        <v>8739459</v>
      </c>
      <c r="T202" s="202" t="s">
        <v>4491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4782</v>
      </c>
      <c r="R203" s="95">
        <v>6667654</v>
      </c>
      <c r="T203" s="201">
        <f>R166/U200</f>
        <v>255.92615511054194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4790</v>
      </c>
      <c r="R204" s="95">
        <v>8981245</v>
      </c>
      <c r="W204" s="114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4796</v>
      </c>
      <c r="R205" s="95">
        <v>9181756</v>
      </c>
      <c r="U205" s="96" t="s">
        <v>267</v>
      </c>
      <c r="V205" t="s">
        <v>4492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4807</v>
      </c>
      <c r="R206" s="95">
        <v>11811208</v>
      </c>
      <c r="T206" s="114"/>
      <c r="U206" s="113">
        <v>41248054</v>
      </c>
      <c r="V206">
        <f>U206/T203</f>
        <v>161171.7019785796</v>
      </c>
      <c r="X206" t="s">
        <v>25</v>
      </c>
      <c r="Y206" s="96">
        <f>W208/15</f>
        <v>4977170.7333333334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4828</v>
      </c>
      <c r="R207" s="95">
        <v>41248054</v>
      </c>
      <c r="S207" t="s">
        <v>25</v>
      </c>
      <c r="X207" t="s">
        <v>25</v>
      </c>
      <c r="AJ207" t="s">
        <v>4059</v>
      </c>
      <c r="AM207" t="s">
        <v>284</v>
      </c>
      <c r="AN207" t="s">
        <v>943</v>
      </c>
    </row>
    <row r="208" spans="17:44">
      <c r="Q208" s="99" t="s">
        <v>4839</v>
      </c>
      <c r="R208" s="95">
        <v>37328780</v>
      </c>
      <c r="W208" s="230">
        <v>74657561</v>
      </c>
      <c r="X208" s="96">
        <f>W208/2</f>
        <v>37328780.5</v>
      </c>
    </row>
    <row r="209" spans="17:44">
      <c r="Q209" s="99"/>
      <c r="R209" s="95"/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/>
      <c r="R210" s="95">
        <f>SUM(R189:R209)</f>
        <v>408236459</v>
      </c>
      <c r="AI210" t="s">
        <v>4064</v>
      </c>
      <c r="AJ210" s="114">
        <f>SUM(N20:N31)</f>
        <v>253549876.09999999</v>
      </c>
      <c r="AQ210" t="s">
        <v>25</v>
      </c>
    </row>
    <row r="211" spans="17:44" ht="60">
      <c r="Q211" s="99"/>
      <c r="R211" s="99" t="s">
        <v>6</v>
      </c>
      <c r="T211" s="22" t="s">
        <v>4475</v>
      </c>
      <c r="X211" t="s">
        <v>25</v>
      </c>
      <c r="AI211" t="s">
        <v>4136</v>
      </c>
      <c r="AJ211" s="114">
        <f>AJ210-AJ206</f>
        <v>6968678.099999994</v>
      </c>
    </row>
    <row r="212" spans="17:44" ht="45">
      <c r="S212" t="s">
        <v>25</v>
      </c>
      <c r="T212" s="22" t="s">
        <v>4476</v>
      </c>
      <c r="AI212" t="s">
        <v>943</v>
      </c>
      <c r="AJ212" s="114">
        <f>AN206</f>
        <v>2837034.5980645162</v>
      </c>
    </row>
    <row r="213" spans="17:44">
      <c r="AI213" t="s">
        <v>4065</v>
      </c>
      <c r="AJ213" s="114">
        <f>AJ211-AJ212</f>
        <v>4131643.5019354778</v>
      </c>
      <c r="AN213" t="s">
        <v>25</v>
      </c>
    </row>
    <row r="214" spans="17:44">
      <c r="Q214" s="99" t="s">
        <v>452</v>
      </c>
      <c r="R214" s="99"/>
      <c r="AN214" t="s">
        <v>25</v>
      </c>
    </row>
    <row r="215" spans="17:44">
      <c r="Q215" s="99" t="s">
        <v>4447</v>
      </c>
      <c r="R215" s="95">
        <v>63115000</v>
      </c>
      <c r="T215" s="99" t="s">
        <v>4493</v>
      </c>
      <c r="U215" s="99" t="s">
        <v>4464</v>
      </c>
      <c r="V215" s="99" t="s">
        <v>953</v>
      </c>
    </row>
    <row r="216" spans="17:44">
      <c r="Q216" s="99" t="s">
        <v>4502</v>
      </c>
      <c r="R216" s="95">
        <v>13300000</v>
      </c>
      <c r="T216" s="95">
        <f>R182+R210+R234</f>
        <v>736346401</v>
      </c>
      <c r="U216" s="95">
        <f>R166</f>
        <v>777569944.10000002</v>
      </c>
      <c r="V216" s="95">
        <f>U216-T216</f>
        <v>41223543.100000024</v>
      </c>
    </row>
    <row r="217" spans="17:44">
      <c r="Q217" s="99" t="s">
        <v>4512</v>
      </c>
      <c r="R217" s="95">
        <v>2269000</v>
      </c>
    </row>
    <row r="218" spans="17:44">
      <c r="Q218" s="99" t="s">
        <v>4638</v>
      </c>
      <c r="R218" s="95">
        <v>25071612</v>
      </c>
    </row>
    <row r="219" spans="17:44">
      <c r="Q219" s="99" t="s">
        <v>4651</v>
      </c>
      <c r="R219" s="95">
        <v>42236984</v>
      </c>
    </row>
    <row r="220" spans="17:44">
      <c r="Q220" s="99" t="s">
        <v>4654</v>
      </c>
      <c r="R220" s="95">
        <v>19663646</v>
      </c>
    </row>
    <row r="221" spans="17:44">
      <c r="Q221" s="99" t="s">
        <v>4682</v>
      </c>
      <c r="R221" s="95">
        <v>4374525</v>
      </c>
      <c r="T221" t="s">
        <v>25</v>
      </c>
    </row>
    <row r="222" spans="17:44">
      <c r="Q222" s="99" t="s">
        <v>4698</v>
      </c>
      <c r="R222" s="95">
        <v>6550580</v>
      </c>
      <c r="T222" t="s">
        <v>25</v>
      </c>
    </row>
    <row r="223" spans="17:44">
      <c r="Q223" s="99" t="s">
        <v>4702</v>
      </c>
      <c r="R223" s="95">
        <v>7054895</v>
      </c>
    </row>
    <row r="224" spans="17:44">
      <c r="Q224" s="99" t="s">
        <v>4746</v>
      </c>
      <c r="R224" s="95">
        <v>2145814</v>
      </c>
      <c r="T224" t="s">
        <v>25</v>
      </c>
    </row>
    <row r="225" spans="17:20">
      <c r="Q225" s="99" t="s">
        <v>4763</v>
      </c>
      <c r="R225" s="95">
        <v>4369730</v>
      </c>
    </row>
    <row r="226" spans="17:20">
      <c r="Q226" s="99" t="s">
        <v>4768</v>
      </c>
      <c r="R226" s="95">
        <v>8739459</v>
      </c>
    </row>
    <row r="227" spans="17:20">
      <c r="Q227" s="99" t="s">
        <v>4782</v>
      </c>
      <c r="R227" s="95">
        <v>6667654</v>
      </c>
    </row>
    <row r="228" spans="17:20">
      <c r="Q228" s="99" t="s">
        <v>3684</v>
      </c>
      <c r="R228" s="95">
        <v>8981245</v>
      </c>
      <c r="T228" t="s">
        <v>25</v>
      </c>
    </row>
    <row r="229" spans="17:20">
      <c r="Q229" s="99" t="s">
        <v>4796</v>
      </c>
      <c r="R229" s="95">
        <v>9181756</v>
      </c>
      <c r="T229" t="s">
        <v>25</v>
      </c>
    </row>
    <row r="230" spans="17:20">
      <c r="Q230" s="99" t="s">
        <v>4807</v>
      </c>
      <c r="R230" s="95">
        <v>11811208</v>
      </c>
    </row>
    <row r="231" spans="17:20">
      <c r="Q231" s="99" t="s">
        <v>4828</v>
      </c>
      <c r="R231" s="95">
        <v>41248054</v>
      </c>
    </row>
    <row r="232" spans="17:20">
      <c r="Q232" s="99" t="s">
        <v>4839</v>
      </c>
      <c r="R232" s="95">
        <v>37328780</v>
      </c>
      <c r="T232" t="s">
        <v>25</v>
      </c>
    </row>
    <row r="233" spans="17:20">
      <c r="Q233" s="99"/>
      <c r="R233" s="95"/>
    </row>
    <row r="234" spans="17:20">
      <c r="Q234" s="99"/>
      <c r="R234" s="95">
        <f>SUM(R215:R233)</f>
        <v>314109942</v>
      </c>
    </row>
    <row r="235" spans="17:20">
      <c r="Q235" s="99"/>
      <c r="R235" s="99" t="s">
        <v>6</v>
      </c>
    </row>
    <row r="236" spans="17:20">
      <c r="T236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3 S87 S93 S96:S98 S101 S107:S108 S103 S119 S121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4"/>
  <sheetViews>
    <sheetView topLeftCell="F19" workbookViewId="0">
      <selection activeCell="O42" sqref="O4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16" max="16" width="10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7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7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7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4796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4796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4393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4796</v>
      </c>
      <c r="X30" s="219" t="s">
        <v>1086</v>
      </c>
      <c r="Y30" s="113">
        <v>4590878</v>
      </c>
      <c r="Z30" s="219">
        <f t="shared" si="9"/>
        <v>0.33907971416360883</v>
      </c>
      <c r="AA30" s="236" t="s">
        <v>4243</v>
      </c>
      <c r="AB30" s="117">
        <v>168.8</v>
      </c>
      <c r="AC30" s="19">
        <v>9222</v>
      </c>
      <c r="AD30" s="236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4796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4796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4546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4796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4807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4810</v>
      </c>
    </row>
    <row r="33" spans="1:32">
      <c r="A33" s="99"/>
      <c r="B33" s="205"/>
      <c r="C33" s="169"/>
      <c r="D33" s="99"/>
      <c r="J33" s="219">
        <v>32</v>
      </c>
      <c r="K33" s="219" t="s">
        <v>4826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4807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4393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4826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4807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4546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4828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4828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4393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4828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>
        <f>P40/17</f>
        <v>0</v>
      </c>
      <c r="W36" s="219" t="s">
        <v>4828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4546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4828</v>
      </c>
      <c r="X37" s="219" t="s">
        <v>1086</v>
      </c>
      <c r="Y37" s="113">
        <v>4852712</v>
      </c>
      <c r="Z37" s="219">
        <f t="shared" si="9"/>
        <v>3.1790291490613911</v>
      </c>
      <c r="AA37" s="229" t="s">
        <v>4412</v>
      </c>
      <c r="AB37" s="117">
        <v>525.1</v>
      </c>
      <c r="AC37" s="219">
        <v>29379</v>
      </c>
      <c r="AD37" s="229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168"/>
      <c r="K38" s="168"/>
      <c r="L38" s="113" t="s">
        <v>25</v>
      </c>
      <c r="M38" s="168"/>
      <c r="N38" s="113"/>
      <c r="O38" s="99"/>
      <c r="W38" s="219"/>
      <c r="X38" s="219"/>
      <c r="Y38" s="113"/>
      <c r="Z38" s="219"/>
      <c r="AA38" s="219"/>
      <c r="AB38" s="219"/>
      <c r="AC38" s="219"/>
      <c r="AD38" s="219"/>
      <c r="AE38" s="219"/>
      <c r="AF38" s="99"/>
    </row>
    <row r="39" spans="1:32">
      <c r="J39" s="168"/>
      <c r="K39" s="168"/>
      <c r="L39" s="168"/>
      <c r="M39" s="168">
        <f>SUM(M2:M38)</f>
        <v>127</v>
      </c>
      <c r="N39" s="113">
        <f>SUM(N2:N38)</f>
        <v>552842373</v>
      </c>
      <c r="O39" s="169">
        <f>N39/(M39-3)</f>
        <v>4458406.2338709673</v>
      </c>
      <c r="W39" s="168"/>
      <c r="X39" s="168"/>
      <c r="Y39" s="113"/>
      <c r="Z39" s="168"/>
      <c r="AA39" s="168"/>
      <c r="AB39" s="113"/>
      <c r="AC39" s="168"/>
      <c r="AD39" s="19"/>
      <c r="AE39" s="168"/>
      <c r="AF39" s="99"/>
    </row>
    <row r="40" spans="1:32">
      <c r="J40" s="168"/>
      <c r="K40" s="168"/>
      <c r="L40" s="168"/>
      <c r="M40" s="168" t="s">
        <v>6</v>
      </c>
      <c r="N40" s="168"/>
      <c r="O40" s="99"/>
      <c r="Z40" t="s">
        <v>25</v>
      </c>
      <c r="AC40" t="s">
        <v>25</v>
      </c>
    </row>
    <row r="41" spans="1:32">
      <c r="M41" s="113">
        <f>N39/(M39-3)</f>
        <v>4458406.2338709673</v>
      </c>
      <c r="Z41" t="s">
        <v>25</v>
      </c>
      <c r="AA41" t="s">
        <v>25</v>
      </c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 s="41" t="s">
        <v>4532</v>
      </c>
      <c r="N42" t="s">
        <v>25</v>
      </c>
      <c r="O42" s="230">
        <v>74657561</v>
      </c>
      <c r="P42">
        <f>O42/2</f>
        <v>37328780.5</v>
      </c>
      <c r="Q42">
        <f>O42/15</f>
        <v>4977170.7333333334</v>
      </c>
      <c r="W42" s="169"/>
      <c r="X42" s="219"/>
      <c r="Y42" s="199"/>
      <c r="Z42" s="219"/>
      <c r="AA42" s="219"/>
      <c r="AB42" s="219"/>
      <c r="AC42" s="32"/>
      <c r="AD42" s="32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S43" t="s">
        <v>25</v>
      </c>
      <c r="W43" s="169"/>
      <c r="X43" s="219"/>
      <c r="Y43" s="199"/>
      <c r="Z43" s="219"/>
      <c r="AA43" s="219"/>
      <c r="AB43" s="219"/>
      <c r="AC43" s="32"/>
      <c r="AD43" s="32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R44" t="s">
        <v>25</v>
      </c>
      <c r="W44" s="169"/>
      <c r="X44" s="219"/>
      <c r="Y44" s="199"/>
      <c r="Z44" s="219"/>
      <c r="AA44" s="219"/>
      <c r="AB44" s="219"/>
      <c r="AC44" s="32"/>
      <c r="AD44" s="32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L45">
        <f>140-M39</f>
        <v>13</v>
      </c>
      <c r="M45">
        <f>70-M2-M4-M5-M7-M9-M10-M12-M14-M16-M18-M20-M22-M25-M27-M29-M31-M33-M35</f>
        <v>4</v>
      </c>
      <c r="N45" t="s">
        <v>483</v>
      </c>
      <c r="O45">
        <v>13</v>
      </c>
      <c r="W45" s="96"/>
      <c r="X45" s="96"/>
      <c r="Y45" s="96"/>
      <c r="Z45" s="96"/>
      <c r="AA45" s="96"/>
      <c r="AB45" s="96"/>
      <c r="AC45" s="96"/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M46">
        <f>65-M3-M6-M8-M11-M13-M15-M17-M19-M21-M23-M26-M28-M30-M32-M34-M36</f>
        <v>9</v>
      </c>
      <c r="N46" t="s">
        <v>5</v>
      </c>
      <c r="W46" s="169"/>
      <c r="X46" s="219"/>
      <c r="Y46" s="199"/>
      <c r="Z46" s="219"/>
      <c r="AA46" s="219"/>
      <c r="AB46" s="219"/>
      <c r="AC46" s="32"/>
      <c r="AD46" s="32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W47" s="169"/>
      <c r="X47" s="219"/>
      <c r="Y47" s="199"/>
      <c r="Z47" s="219"/>
      <c r="AA47" s="219"/>
      <c r="AB47" s="219"/>
      <c r="AC47" s="32"/>
      <c r="AD47" s="32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AA49" s="96"/>
      <c r="AB49" s="96"/>
      <c r="AC49" s="96"/>
      <c r="AD49" s="96" t="s">
        <v>25</v>
      </c>
    </row>
    <row r="50" spans="1:3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 t="s">
        <v>4542</v>
      </c>
      <c r="L50" s="168" t="s">
        <v>1086</v>
      </c>
      <c r="M50" s="168" t="s">
        <v>4243</v>
      </c>
      <c r="N50" s="168" t="s">
        <v>4559</v>
      </c>
      <c r="O50" s="168"/>
      <c r="AA50" s="96"/>
      <c r="AB50" s="96"/>
      <c r="AC50" s="96" t="s">
        <v>25</v>
      </c>
      <c r="AD50" s="96"/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 t="s">
        <v>4531</v>
      </c>
      <c r="L51" s="168">
        <v>3390000</v>
      </c>
      <c r="M51" s="168">
        <v>161.4</v>
      </c>
      <c r="N51" s="168">
        <f>L51/M51</f>
        <v>21003.717472118959</v>
      </c>
      <c r="O51" s="168"/>
      <c r="AA51" s="96"/>
      <c r="AB51" s="96"/>
      <c r="AC51" s="96"/>
      <c r="AD51" s="96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  <c r="W52" s="96"/>
      <c r="X52" s="96"/>
      <c r="Y52" s="96"/>
      <c r="Z52" s="96"/>
      <c r="AA52" s="96"/>
      <c r="AB52" s="96"/>
      <c r="AC52" s="96"/>
      <c r="AD52" s="96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  <c r="W53" s="96"/>
      <c r="X53" s="96"/>
      <c r="Y53" s="96"/>
      <c r="Z53" s="96" t="s">
        <v>4675</v>
      </c>
      <c r="AA53" s="96"/>
      <c r="AB53" s="96"/>
      <c r="AC53" s="96"/>
      <c r="AD53" s="96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 t="s">
        <v>4676</v>
      </c>
      <c r="AA54" s="212">
        <v>35441</v>
      </c>
      <c r="AB54" s="96"/>
      <c r="AC54" s="96"/>
      <c r="AD54" s="96"/>
    </row>
    <row r="55" spans="1:30" ht="12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22" t="s">
        <v>4679</v>
      </c>
      <c r="Y55" s="22" t="s">
        <v>4678</v>
      </c>
      <c r="Z55" s="22" t="s">
        <v>4677</v>
      </c>
      <c r="AA55" s="22" t="s">
        <v>4681</v>
      </c>
    </row>
    <row r="56" spans="1:30">
      <c r="A56" s="99" t="s">
        <v>4796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</row>
    <row r="57" spans="1:30">
      <c r="A57" s="99" t="s">
        <v>4807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</row>
    <row r="58" spans="1:30">
      <c r="A58" s="99" t="s">
        <v>4818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</row>
    <row r="59" spans="1:30">
      <c r="A59" s="99" t="s">
        <v>4826</v>
      </c>
      <c r="B59" s="95">
        <v>4530000</v>
      </c>
      <c r="C59" s="95">
        <v>4680000</v>
      </c>
      <c r="D59" s="95">
        <v>13000</v>
      </c>
      <c r="E59" s="95">
        <v>13150</v>
      </c>
    </row>
    <row r="60" spans="1:30">
      <c r="A60" s="99" t="s">
        <v>4828</v>
      </c>
      <c r="B60" s="95">
        <v>4750000</v>
      </c>
      <c r="C60" s="95">
        <v>4900000</v>
      </c>
      <c r="D60" s="95">
        <v>13750</v>
      </c>
      <c r="E60" s="95">
        <v>13900</v>
      </c>
    </row>
    <row r="61" spans="1:30">
      <c r="A61" s="99"/>
      <c r="B61" s="95"/>
      <c r="C61" s="95"/>
      <c r="D61" s="95"/>
      <c r="E61" s="95"/>
      <c r="K61" s="99" t="s">
        <v>180</v>
      </c>
      <c r="L61" s="99" t="s">
        <v>4817</v>
      </c>
    </row>
    <row r="62" spans="1:30">
      <c r="A62" s="99"/>
      <c r="B62" s="95"/>
      <c r="C62" s="95"/>
      <c r="D62" s="95"/>
      <c r="E62" s="95"/>
      <c r="K62" s="99" t="s">
        <v>4765</v>
      </c>
      <c r="L62" s="95">
        <v>535989412</v>
      </c>
    </row>
    <row r="63" spans="1:30">
      <c r="A63" s="99"/>
      <c r="B63" s="95"/>
      <c r="C63" s="95"/>
      <c r="D63" s="95"/>
      <c r="E63" s="95"/>
      <c r="G63" s="114">
        <f>B60-B47+L19</f>
        <v>5061628</v>
      </c>
      <c r="K63" s="99" t="s">
        <v>4807</v>
      </c>
      <c r="L63" s="95">
        <v>548929344</v>
      </c>
    </row>
    <row r="64" spans="1:30">
      <c r="K64" s="99" t="s">
        <v>4818</v>
      </c>
      <c r="L64" s="95">
        <v>560461325</v>
      </c>
    </row>
    <row r="65" spans="2:13">
      <c r="K65" s="99" t="s">
        <v>4826</v>
      </c>
      <c r="L65" s="95">
        <v>577849094</v>
      </c>
    </row>
    <row r="66" spans="2:13">
      <c r="K66" s="99" t="s">
        <v>4828</v>
      </c>
      <c r="L66" s="95">
        <v>586796180</v>
      </c>
    </row>
    <row r="67" spans="2:13">
      <c r="B67" t="s">
        <v>25</v>
      </c>
      <c r="K67" s="99"/>
      <c r="L67" s="95"/>
    </row>
    <row r="68" spans="2:13">
      <c r="K68" s="99"/>
      <c r="L68" s="95"/>
    </row>
    <row r="69" spans="2:13">
      <c r="E69" t="s">
        <v>25</v>
      </c>
      <c r="K69" s="99"/>
      <c r="L69" s="95"/>
    </row>
    <row r="70" spans="2:13">
      <c r="K70" s="99"/>
      <c r="L70" s="95"/>
    </row>
    <row r="71" spans="2:13">
      <c r="J71" s="41"/>
      <c r="K71" s="219"/>
      <c r="L71" s="219"/>
      <c r="M71" s="41"/>
    </row>
    <row r="72" spans="2:13">
      <c r="K72" s="99"/>
      <c r="L72" s="99"/>
    </row>
    <row r="73" spans="2:13">
      <c r="K73" s="99"/>
      <c r="L73" s="99"/>
    </row>
    <row r="74" spans="2:13">
      <c r="K74" s="99"/>
      <c r="L74" s="9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4786</v>
      </c>
      <c r="B23" s="18">
        <v>-297992</v>
      </c>
      <c r="C23" s="18">
        <v>0</v>
      </c>
      <c r="D23" s="113">
        <f t="shared" si="0"/>
        <v>-297992</v>
      </c>
      <c r="E23" s="19" t="s">
        <v>4787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2" t="s">
        <v>1089</v>
      </c>
      <c r="R21" s="232"/>
      <c r="S21" s="232"/>
      <c r="T21" s="232"/>
      <c r="U21" s="96"/>
      <c r="V21" s="96"/>
      <c r="W21" s="96"/>
      <c r="X21" s="96"/>
      <c r="Y21" s="96"/>
      <c r="Z21" s="96"/>
    </row>
    <row r="22" spans="5:35">
      <c r="O22" s="99"/>
      <c r="P22" s="99"/>
      <c r="Q22" s="232"/>
      <c r="R22" s="232"/>
      <c r="S22" s="232"/>
      <c r="T22" s="23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3" t="s">
        <v>1090</v>
      </c>
      <c r="R23" s="234" t="s">
        <v>1091</v>
      </c>
      <c r="S23" s="233" t="s">
        <v>1092</v>
      </c>
      <c r="T23" s="235" t="s">
        <v>1093</v>
      </c>
      <c r="AD23" t="s">
        <v>25</v>
      </c>
    </row>
    <row r="24" spans="5:35">
      <c r="O24" s="99"/>
      <c r="P24" s="99"/>
      <c r="Q24" s="233"/>
      <c r="R24" s="234"/>
      <c r="S24" s="233"/>
      <c r="T24" s="23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G18" sqref="G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4792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4793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4826</v>
      </c>
      <c r="B6" s="95">
        <v>0</v>
      </c>
      <c r="C6" s="95">
        <v>3000</v>
      </c>
      <c r="D6" s="99" t="s">
        <v>4830</v>
      </c>
      <c r="E6" s="96"/>
      <c r="F6" s="96"/>
      <c r="G6" s="96"/>
    </row>
    <row r="7" spans="1:7">
      <c r="A7" s="99" t="s">
        <v>4826</v>
      </c>
      <c r="B7" s="95">
        <v>9200</v>
      </c>
      <c r="C7" s="95">
        <v>0</v>
      </c>
      <c r="D7" s="99" t="s">
        <v>4793</v>
      </c>
      <c r="E7" s="96"/>
      <c r="F7" s="96"/>
      <c r="G7" s="96"/>
    </row>
    <row r="8" spans="1:7">
      <c r="A8" s="99" t="s">
        <v>4828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/>
      <c r="B9" s="99"/>
      <c r="C9" s="99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19500</v>
      </c>
      <c r="C24" s="95">
        <f>SUM(C2:C23)</f>
        <v>11500</v>
      </c>
      <c r="D24" s="99"/>
      <c r="E24" s="96"/>
      <c r="F24" s="96"/>
      <c r="G24" s="96"/>
    </row>
    <row r="26" spans="1:7">
      <c r="A26" s="23" t="s">
        <v>4828</v>
      </c>
      <c r="B26" s="231">
        <v>6700</v>
      </c>
      <c r="C26" s="231">
        <v>0</v>
      </c>
      <c r="D26" s="23" t="s">
        <v>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2019-02-24T12:00:49Z</dcterms:modified>
</cp:coreProperties>
</file>