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شهریور97" sheetId="46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لیست خرید و فروش" sheetId="32" r:id="rId37"/>
    <sheet name="اوراق بدون ریسک" sheetId="33" r:id="rId38"/>
    <sheet name="نکات" sheetId="35" r:id="rId39"/>
    <sheet name="سکه" sheetId="36" r:id="rId40"/>
    <sheet name="apply" sheetId="37" r:id="rId41"/>
    <sheet name="بیمه" sheetId="39" r:id="rId42"/>
    <sheet name="آرشیو قیمت ارجینال" sheetId="40" r:id="rId43"/>
    <sheet name="تحلیل1" sheetId="41" r:id="rId44"/>
    <sheet name="Sheet1" sheetId="44" r:id="rId45"/>
  </sheets>
  <calcPr calcId="145621"/>
</workbook>
</file>

<file path=xl/calcChain.xml><?xml version="1.0" encoding="utf-8"?>
<calcChain xmlns="http://schemas.openxmlformats.org/spreadsheetml/2006/main">
  <c r="N34" i="18" l="1"/>
  <c r="AH68" i="18"/>
  <c r="D57" i="46" l="1"/>
  <c r="AJ64" i="18" l="1"/>
  <c r="AJ63" i="18" s="1"/>
  <c r="N29" i="18"/>
  <c r="AK63" i="18" l="1"/>
  <c r="AJ62" i="18"/>
  <c r="AB37" i="18"/>
  <c r="AC37" i="18" s="1"/>
  <c r="AD37" i="18" s="1"/>
  <c r="AB38" i="18"/>
  <c r="AC38" i="18" s="1"/>
  <c r="AD38" i="18" s="1"/>
  <c r="Y37" i="18"/>
  <c r="AA37" i="18" s="1"/>
  <c r="Y38" i="18"/>
  <c r="AA38" i="18" s="1"/>
  <c r="Y36" i="18"/>
  <c r="AA32" i="18"/>
  <c r="Y32" i="18"/>
  <c r="Y33" i="18"/>
  <c r="AA33" i="18" s="1"/>
  <c r="Y31" i="18"/>
  <c r="AA31" i="18" s="1"/>
  <c r="X46" i="18"/>
  <c r="AJ61" i="18" l="1"/>
  <c r="AK62" i="18"/>
  <c r="Q56" i="18"/>
  <c r="Q50" i="18"/>
  <c r="AK61" i="18" l="1"/>
  <c r="AJ60" i="18"/>
  <c r="N19" i="18"/>
  <c r="Q53" i="18" s="1"/>
  <c r="AC15" i="33"/>
  <c r="AJ59" i="18" l="1"/>
  <c r="AK60" i="18"/>
  <c r="AK59" i="18" l="1"/>
  <c r="AJ58" i="18"/>
  <c r="L19" i="18"/>
  <c r="I23" i="46"/>
  <c r="H23" i="46"/>
  <c r="G23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57" i="18" l="1"/>
  <c r="AK58" i="18"/>
  <c r="N2" i="33"/>
  <c r="AJ56" i="18" l="1"/>
  <c r="AK57" i="18"/>
  <c r="D73" i="45"/>
  <c r="AJ55" i="18" l="1"/>
  <c r="AK56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4" i="18" l="1"/>
  <c r="AK55" i="18"/>
  <c r="E45" i="14"/>
  <c r="S29" i="18"/>
  <c r="AJ53" i="18" l="1"/>
  <c r="AK54" i="18"/>
  <c r="E44" i="14"/>
  <c r="AJ52" i="18" l="1"/>
  <c r="AK53" i="18"/>
  <c r="E43" i="14"/>
  <c r="AJ51" i="18" l="1"/>
  <c r="AK52" i="18"/>
  <c r="E42" i="14"/>
  <c r="G42" i="14" s="1"/>
  <c r="S30" i="18"/>
  <c r="S31" i="18" s="1"/>
  <c r="S32" i="18" s="1"/>
  <c r="S33" i="18" s="1"/>
  <c r="S34" i="18" s="1"/>
  <c r="S35" i="18" s="1"/>
  <c r="S36" i="18" s="1"/>
  <c r="AJ50" i="18" l="1"/>
  <c r="AK51" i="18"/>
  <c r="E41" i="14"/>
  <c r="G41" i="14" s="1"/>
  <c r="U28" i="18"/>
  <c r="AJ49" i="18" l="1"/>
  <c r="AK50" i="18"/>
  <c r="E40" i="14"/>
  <c r="G40" i="14" s="1"/>
  <c r="N28" i="18"/>
  <c r="Q39" i="18" s="1"/>
  <c r="AJ48" i="18" l="1"/>
  <c r="AK49" i="18"/>
  <c r="AH74" i="18"/>
  <c r="Q55" i="18"/>
  <c r="E39" i="14"/>
  <c r="G39" i="14" s="1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I191" i="20" l="1"/>
  <c r="K191" i="20"/>
  <c r="J191" i="20"/>
  <c r="K189" i="20"/>
  <c r="K190" i="20"/>
  <c r="I189" i="20"/>
  <c r="I190" i="20"/>
  <c r="J190" i="20"/>
  <c r="J189" i="20"/>
  <c r="K188" i="20"/>
  <c r="J188" i="20"/>
  <c r="I188" i="20"/>
  <c r="K187" i="20"/>
  <c r="J187" i="20"/>
  <c r="I187" i="20"/>
  <c r="AK48" i="18"/>
  <c r="AJ47" i="18"/>
  <c r="J186" i="20"/>
  <c r="K186" i="20"/>
  <c r="K185" i="20"/>
  <c r="I186" i="20"/>
  <c r="I185" i="20"/>
  <c r="J185" i="20"/>
  <c r="K184" i="20"/>
  <c r="J184" i="20"/>
  <c r="I184" i="20"/>
  <c r="I183" i="20"/>
  <c r="J183" i="20"/>
  <c r="K183" i="20"/>
  <c r="J182" i="20"/>
  <c r="I182" i="20"/>
  <c r="K182" i="20"/>
  <c r="K181" i="20"/>
  <c r="J181" i="20"/>
  <c r="I180" i="20"/>
  <c r="I181" i="20"/>
  <c r="J180" i="20"/>
  <c r="K180" i="20"/>
  <c r="J179" i="20"/>
  <c r="K179" i="20"/>
  <c r="I179" i="20"/>
  <c r="K178" i="20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AJ46" i="18" l="1"/>
  <c r="AK47" i="18"/>
  <c r="E37" i="14"/>
  <c r="G37" i="14" s="1"/>
  <c r="B196" i="13"/>
  <c r="AJ45" i="18" l="1"/>
  <c r="AK46" i="18"/>
  <c r="E36" i="14"/>
  <c r="G36" i="14" s="1"/>
  <c r="F105" i="13"/>
  <c r="B105" i="13"/>
  <c r="AJ44" i="18" l="1"/>
  <c r="AK4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3" i="18" l="1"/>
  <c r="AK44" i="18"/>
  <c r="C2" i="46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AK43" i="18" l="1"/>
  <c r="AJ42" i="18"/>
  <c r="B24" i="46"/>
  <c r="G2" i="46"/>
  <c r="G25" i="46" s="1"/>
  <c r="D2" i="46"/>
  <c r="H2" i="46"/>
  <c r="H25" i="46" s="1"/>
  <c r="C24" i="46"/>
  <c r="H30" i="45"/>
  <c r="E33" i="14"/>
  <c r="I2" i="45"/>
  <c r="I25" i="45" s="1"/>
  <c r="I30" i="45" s="1"/>
  <c r="H3" i="44"/>
  <c r="AK42" i="18" l="1"/>
  <c r="AJ41" i="18"/>
  <c r="I2" i="46"/>
  <c r="I25" i="46" s="1"/>
  <c r="I30" i="46" s="1"/>
  <c r="D24" i="46"/>
  <c r="H30" i="46"/>
  <c r="E32" i="14"/>
  <c r="G32" i="14" s="1"/>
  <c r="G33" i="14"/>
  <c r="H4" i="44"/>
  <c r="D6" i="44" s="1"/>
  <c r="C9" i="44" s="1"/>
  <c r="D64" i="43"/>
  <c r="AK41" i="18" l="1"/>
  <c r="AJ40" i="18"/>
  <c r="B263" i="15"/>
  <c r="E253" i="15"/>
  <c r="E252" i="15"/>
  <c r="AK40" i="18" l="1"/>
  <c r="AJ39" i="18"/>
  <c r="E251" i="15"/>
  <c r="E250" i="15"/>
  <c r="D171" i="20"/>
  <c r="AK39" i="18" l="1"/>
  <c r="AJ38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J37" i="18" l="1"/>
  <c r="AK38" i="18"/>
  <c r="E30" i="14"/>
  <c r="G31" i="14"/>
  <c r="E248" i="15"/>
  <c r="AJ36" i="18" l="1"/>
  <c r="AK37" i="18"/>
  <c r="E29" i="14"/>
  <c r="G30" i="14"/>
  <c r="E247" i="15"/>
  <c r="E246" i="15"/>
  <c r="AJ35" i="18" l="1"/>
  <c r="AK36" i="18"/>
  <c r="E28" i="14"/>
  <c r="G29" i="14"/>
  <c r="E245" i="15"/>
  <c r="AJ34" i="18" l="1"/>
  <c r="AK35" i="18"/>
  <c r="E27" i="14"/>
  <c r="G28" i="14"/>
  <c r="N13" i="33"/>
  <c r="E244" i="15"/>
  <c r="AK34" i="18" l="1"/>
  <c r="AJ33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2" i="18" l="1"/>
  <c r="AK33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2" i="33"/>
  <c r="B12" i="33" s="1"/>
  <c r="N5" i="33"/>
  <c r="B5" i="33" s="1"/>
  <c r="AK32" i="18" l="1"/>
  <c r="AJ31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1" i="18" l="1"/>
  <c r="AJ30" i="18"/>
  <c r="E23" i="14"/>
  <c r="G24" i="14"/>
  <c r="H25" i="43"/>
  <c r="G2" i="43"/>
  <c r="G25" i="43" s="1"/>
  <c r="G30" i="43" s="1"/>
  <c r="H30" i="43" s="1"/>
  <c r="AJ29" i="18" l="1"/>
  <c r="AK30" i="18"/>
  <c r="E22" i="14"/>
  <c r="G23" i="14"/>
  <c r="I2" i="43"/>
  <c r="I25" i="43" s="1"/>
  <c r="I30" i="43" s="1"/>
  <c r="D24" i="43"/>
  <c r="AJ28" i="18" l="1"/>
  <c r="AK29" i="18"/>
  <c r="E21" i="14"/>
  <c r="E20" i="14" s="1"/>
  <c r="E19" i="14" s="1"/>
  <c r="E18" i="14" s="1"/>
  <c r="G22" i="14"/>
  <c r="E243" i="15"/>
  <c r="AJ27" i="18" l="1"/>
  <c r="AK28" i="18"/>
  <c r="E242" i="15"/>
  <c r="AJ26" i="18" l="1"/>
  <c r="AK27" i="18"/>
  <c r="J46" i="33"/>
  <c r="J44" i="33"/>
  <c r="J43" i="33"/>
  <c r="L46" i="33" s="1"/>
  <c r="AK26" i="18" l="1"/>
  <c r="AJ25" i="18"/>
  <c r="E241" i="15"/>
  <c r="AJ24" i="18" l="1"/>
  <c r="AK25" i="18"/>
  <c r="D168" i="20"/>
  <c r="AJ23" i="18" l="1"/>
  <c r="AK24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23" i="18" l="1"/>
  <c r="AJ22" i="18"/>
  <c r="D252" i="15"/>
  <c r="F253" i="15"/>
  <c r="AJ21" i="18" l="1"/>
  <c r="AK22" i="18"/>
  <c r="D251" i="15"/>
  <c r="F252" i="15"/>
  <c r="AJ20" i="18" l="1"/>
  <c r="AK20" i="18" s="1"/>
  <c r="AK21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K68" i="18" l="1"/>
  <c r="AL68" i="18" s="1"/>
  <c r="AH73" i="18" s="1"/>
  <c r="AH75" i="18" s="1"/>
  <c r="AI77" i="18" s="1"/>
  <c r="D249" i="15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4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Q52" i="18" s="1"/>
  <c r="Q66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N37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E33" i="13"/>
  <c r="G34" i="13"/>
  <c r="I97" i="20"/>
  <c r="K97" i="20"/>
  <c r="J97" i="20"/>
  <c r="F108" i="15"/>
  <c r="C20" i="18"/>
  <c r="G20" i="14"/>
  <c r="G21" i="14"/>
  <c r="F20" i="18" l="1"/>
  <c r="L39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Z36" i="18"/>
  <c r="Z41" i="18" s="1"/>
  <c r="AA41" i="18" s="1"/>
  <c r="AB36" i="18" l="1"/>
  <c r="AC36" i="18" s="1"/>
  <c r="AD36" i="18" s="1"/>
  <c r="AA36" i="18"/>
</calcChain>
</file>

<file path=xl/sharedStrings.xml><?xml version="1.0" encoding="utf-8"?>
<sst xmlns="http://schemas.openxmlformats.org/spreadsheetml/2006/main" count="8783" uniqueCount="4183">
  <si>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</si>
  <si>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</si>
  <si>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</si>
  <si>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</si>
  <si>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</si>
  <si>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</si>
  <si>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</si>
  <si>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</si>
  <si>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</si>
  <si>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</si>
  <si>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</si>
  <si>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</si>
  <si>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</si>
  <si>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</si>
  <si>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</si>
  <si>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</si>
  <si>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</si>
  <si>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</si>
  <si>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</si>
  <si>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</si>
  <si>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</si>
  <si>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</si>
  <si>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</si>
  <si>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</si>
  <si>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</si>
  <si>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</si>
  <si>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</si>
  <si>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</si>
  <si>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</si>
  <si>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</si>
  <si>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</si>
  <si>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</si>
  <si>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</si>
  <si>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</si>
  <si>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</si>
  <si>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</si>
  <si>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</si>
  <si>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</si>
  <si>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</si>
  <si>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</si>
  <si>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</si>
  <si>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</si>
  <si>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</si>
  <si>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</si>
  <si>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</si>
  <si>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</si>
  <si>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</si>
  <si>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</si>
  <si>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</si>
  <si>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</si>
  <si>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</si>
  <si>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</si>
  <si>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</si>
  <si>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</si>
  <si>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</si>
  <si>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</si>
  <si>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</si>
  <si>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</si>
  <si>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</si>
  <si>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</si>
  <si>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</si>
  <si>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</si>
  <si>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</si>
  <si>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</si>
  <si>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</si>
  <si>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</si>
  <si>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</si>
  <si>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</si>
  <si>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</si>
  <si>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</si>
  <si>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</si>
  <si>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</si>
  <si>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</si>
  <si>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</si>
  <si>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</si>
  <si>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</si>
  <si>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</si>
  <si>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</si>
  <si>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</si>
  <si>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</si>
  <si>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</si>
  <si>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</si>
  <si>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</si>
  <si>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</si>
  <si>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</si>
  <si>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</si>
  <si>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</si>
  <si>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</si>
  <si>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</si>
  <si>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</si>
  <si>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</si>
  <si>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</si>
  <si>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</si>
  <si>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</si>
  <si>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</si>
  <si>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</si>
  <si>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</si>
  <si>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</si>
  <si>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</si>
  <si>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</si>
  <si>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</si>
  <si>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</si>
  <si>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</si>
  <si>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</si>
  <si>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</si>
  <si>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</si>
  <si>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</si>
  <si>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</si>
  <si>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</si>
  <si>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</si>
  <si>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</si>
  <si>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</si>
  <si>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</si>
  <si>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</si>
  <si>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</si>
  <si>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</si>
  <si>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</si>
  <si>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</si>
  <si>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</si>
  <si>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</si>
  <si>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</si>
  <si>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</si>
  <si>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</si>
  <si>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</si>
  <si>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</si>
  <si>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</si>
  <si>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</si>
  <si>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</si>
  <si>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</si>
  <si>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</si>
  <si>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</si>
  <si>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</si>
  <si>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</si>
  <si>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</si>
  <si>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</si>
  <si>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</si>
  <si>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</si>
  <si>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</si>
  <si>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</si>
  <si>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</si>
  <si>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</si>
  <si>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</si>
  <si>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</si>
  <si>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</si>
  <si>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</si>
  <si>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</si>
  <si>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</si>
  <si>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</si>
  <si>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</si>
  <si>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</si>
  <si>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</si>
  <si>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</si>
  <si>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</si>
  <si>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</si>
  <si>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</si>
  <si>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</si>
  <si>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</si>
  <si>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</si>
  <si>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</si>
  <si>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</si>
  <si>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</si>
  <si>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</si>
  <si>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</si>
  <si>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</si>
  <si>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</si>
  <si>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</si>
  <si>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</si>
  <si>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</si>
  <si>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</si>
  <si>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</si>
  <si>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</si>
  <si>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</si>
  <si>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</si>
  <si>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</si>
  <si>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</si>
  <si>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</si>
  <si>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</si>
  <si>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</si>
  <si>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</si>
  <si>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</si>
  <si>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</si>
  <si>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</si>
  <si>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</si>
  <si>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</si>
  <si>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</si>
  <si>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</si>
  <si>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</si>
  <si>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</si>
  <si>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</si>
  <si>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</si>
  <si>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</si>
  <si>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</si>
  <si>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</si>
  <si>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</si>
  <si>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</si>
  <si>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</si>
  <si>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</si>
  <si>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</si>
  <si>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</si>
  <si>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</si>
  <si>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</si>
  <si>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</si>
  <si>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</si>
  <si>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</si>
  <si>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</si>
  <si>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</si>
  <si>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</si>
  <si>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</si>
  <si>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</si>
  <si>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</si>
  <si>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</si>
  <si>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</si>
  <si>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</si>
  <si>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</si>
  <si>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</si>
  <si>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</si>
  <si>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</si>
  <si>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</si>
  <si>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</si>
  <si>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</si>
  <si>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</si>
  <si>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</si>
  <si>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</si>
  <si>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</si>
  <si>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</si>
  <si>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</si>
  <si>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</si>
  <si>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</si>
  <si>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</si>
  <si>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</si>
  <si>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</si>
  <si>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</si>
  <si>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</si>
  <si>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</si>
  <si>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</si>
  <si>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</si>
  <si>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</si>
  <si>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</si>
  <si>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</si>
  <si>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</si>
  <si>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</si>
  <si>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</si>
  <si>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</si>
  <si>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</si>
  <si>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</si>
  <si>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</si>
  <si>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</si>
  <si>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</si>
  <si>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</si>
  <si>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</si>
  <si>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</si>
  <si>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</si>
  <si>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</si>
  <si>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</si>
  <si>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</si>
  <si>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</si>
  <si>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</si>
  <si>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</si>
  <si>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</si>
  <si>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</si>
  <si>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</si>
  <si>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</si>
  <si>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</si>
  <si>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</si>
  <si>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</si>
  <si>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</si>
  <si>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</si>
  <si>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</si>
  <si>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</si>
  <si>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</si>
  <si>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</si>
  <si>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</si>
  <si>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</si>
  <si>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</si>
  <si>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</si>
  <si>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</si>
  <si>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</si>
  <si>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</si>
  <si>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</si>
  <si>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</si>
  <si>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</si>
  <si>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</si>
  <si>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</si>
  <si>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</si>
  <si>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</si>
  <si>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</si>
  <si>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</si>
  <si>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</si>
  <si>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</si>
  <si>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</si>
  <si>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</si>
  <si>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</si>
  <si>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</si>
  <si>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</si>
  <si>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</si>
  <si>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</si>
  <si>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</si>
  <si>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</si>
  <si>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</si>
  <si>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</si>
  <si>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</si>
  <si>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</si>
  <si>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</si>
  <si>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</si>
  <si>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</si>
  <si>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</si>
  <si>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</si>
  <si>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</si>
  <si>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</si>
  <si>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</si>
  <si>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</si>
  <si>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</si>
  <si>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</si>
  <si>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</si>
  <si>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</si>
  <si>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</si>
  <si>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</si>
  <si>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</si>
  <si>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</si>
  <si>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</si>
  <si>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</si>
  <si>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</si>
  <si>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</si>
  <si>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</si>
  <si>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</si>
  <si>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</si>
  <si>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</si>
  <si>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</si>
  <si>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</si>
  <si>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</si>
  <si>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</si>
  <si>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</si>
  <si>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</si>
  <si>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</si>
  <si>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</si>
  <si>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</si>
  <si>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</si>
  <si>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</si>
  <si>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</si>
  <si>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</si>
  <si>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</si>
  <si>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</si>
  <si>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</si>
  <si>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</si>
  <si>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</si>
  <si>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</si>
  <si>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</si>
  <si>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</si>
  <si>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</si>
  <si>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</si>
  <si>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</si>
  <si>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</si>
  <si>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</si>
  <si>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</si>
  <si>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</si>
  <si>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</si>
  <si>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</si>
  <si>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</si>
  <si>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</si>
  <si>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</si>
  <si>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</si>
  <si>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</si>
  <si>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</si>
  <si>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</si>
  <si>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</si>
  <si>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</si>
  <si>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</si>
  <si>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</si>
  <si>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</si>
  <si>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</si>
  <si>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</si>
  <si>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</si>
  <si>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</si>
  <si>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</si>
  <si>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</si>
  <si>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</si>
  <si>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</si>
  <si>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</si>
  <si>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</si>
  <si>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</si>
  <si>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</si>
  <si>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</si>
  <si>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</si>
  <si>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</si>
  <si>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</si>
  <si>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</si>
  <si>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</si>
  <si>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</si>
  <si>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</si>
  <si>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</si>
  <si>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</si>
  <si>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</si>
  <si>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</si>
  <si>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</si>
  <si>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</si>
  <si>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</si>
  <si>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</si>
  <si>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</si>
  <si>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</si>
  <si>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</si>
  <si>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</si>
  <si>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</si>
  <si>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</si>
  <si>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</si>
  <si>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</si>
  <si>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</si>
  <si>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</si>
  <si>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</si>
  <si>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</si>
  <si>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</si>
  <si>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</si>
  <si>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</si>
  <si>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</si>
  <si>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</si>
  <si>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</si>
  <si>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</si>
  <si>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</si>
  <si>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</si>
  <si>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</si>
  <si>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</si>
  <si>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</si>
  <si>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</si>
  <si>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</si>
  <si>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</si>
  <si>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</si>
  <si>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</si>
  <si>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</si>
  <si>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</si>
  <si>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</si>
  <si>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</si>
  <si>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</si>
  <si>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</si>
  <si>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</si>
  <si>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</si>
  <si>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</si>
  <si>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</si>
  <si>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</si>
  <si>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</si>
  <si>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</si>
  <si>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</si>
  <si>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</si>
  <si>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</si>
  <si>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</si>
  <si>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</si>
  <si>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</si>
  <si>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</si>
  <si>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</si>
  <si>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</si>
  <si>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</si>
  <si>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</si>
  <si>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</si>
  <si>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</si>
  <si>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</si>
  <si>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</si>
  <si>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</si>
  <si>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</si>
  <si>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</si>
  <si>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</si>
  <si>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</si>
  <si>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</si>
  <si>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</si>
  <si>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</si>
  <si>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</si>
  <si>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</si>
  <si>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</si>
  <si>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</si>
  <si>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</si>
  <si>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</si>
  <si>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</si>
  <si>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</si>
  <si>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</si>
  <si>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</si>
  <si>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</si>
  <si>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</si>
  <si>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</si>
  <si>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</si>
  <si>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</si>
  <si>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</si>
  <si>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</si>
  <si>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</si>
  <si>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</si>
  <si>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</si>
  <si>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</si>
  <si>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</si>
  <si>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</si>
  <si>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</si>
  <si>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</si>
  <si>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</si>
  <si>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</si>
  <si>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</si>
  <si>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</si>
  <si>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</si>
  <si>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</si>
  <si>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</si>
  <si>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</si>
  <si>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</si>
  <si>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</si>
  <si>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</si>
  <si>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</si>
  <si>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</si>
  <si>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</si>
  <si>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</si>
  <si>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</si>
  <si>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</si>
  <si>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</si>
  <si>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</si>
  <si>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</si>
  <si>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</si>
  <si>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</si>
  <si>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</si>
  <si>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</si>
  <si>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</si>
  <si>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</si>
  <si>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</si>
  <si>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</si>
  <si>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</si>
  <si>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</si>
  <si>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</si>
  <si>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</si>
  <si>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</si>
  <si>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</si>
  <si>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</si>
  <si>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</si>
  <si>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</si>
  <si>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</si>
  <si>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</si>
  <si>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</si>
  <si>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</si>
  <si>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</si>
  <si>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</si>
  <si>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</si>
  <si>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</si>
  <si>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</si>
  <si>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</si>
  <si>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</si>
  <si>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</si>
  <si>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</si>
  <si>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</si>
  <si>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</si>
  <si>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</si>
  <si>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</si>
  <si>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</si>
  <si>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</si>
  <si>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</si>
  <si>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</si>
  <si>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</si>
  <si>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</si>
  <si>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</si>
  <si>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</si>
  <si>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</si>
  <si>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</si>
  <si>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</si>
  <si>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</si>
  <si>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</si>
  <si>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</si>
  <si>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</si>
  <si>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</si>
  <si>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</si>
  <si>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</si>
  <si>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</si>
  <si>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</si>
  <si>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</si>
  <si>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</si>
  <si>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</si>
  <si>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</si>
  <si>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</si>
  <si>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</si>
  <si>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</si>
  <si>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</si>
  <si>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</si>
  <si>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</si>
  <si>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</si>
  <si>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</si>
  <si>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</si>
  <si>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</si>
  <si>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</si>
  <si>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</si>
  <si>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</si>
  <si>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</si>
  <si>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</si>
  <si>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</si>
  <si>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</si>
  <si>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</si>
  <si>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</si>
  <si>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</si>
  <si>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</si>
  <si>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</si>
  <si>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</si>
  <si>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</si>
  <si>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</si>
  <si>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</si>
  <si>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</si>
  <si>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</si>
  <si>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</si>
  <si>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</si>
  <si>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</si>
  <si>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</si>
  <si>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</si>
  <si>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</si>
  <si>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</si>
  <si>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</si>
  <si>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</si>
  <si>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</si>
  <si>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</si>
  <si>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</si>
  <si>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</si>
  <si>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</si>
  <si>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</si>
  <si>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</si>
  <si>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</si>
  <si>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</si>
  <si>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</si>
  <si>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</si>
  <si>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</si>
  <si>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</si>
  <si>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</si>
  <si>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</si>
  <si>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</si>
  <si>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</si>
  <si>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</si>
  <si>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</si>
  <si>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</si>
  <si>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</si>
  <si>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</si>
  <si>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</si>
  <si>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</si>
  <si>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</si>
  <si>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</si>
  <si>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</si>
  <si>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</si>
  <si>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</si>
  <si>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</si>
  <si>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</si>
  <si>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</si>
  <si>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</si>
  <si>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</si>
  <si>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</si>
  <si>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</si>
  <si>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</si>
  <si>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</si>
  <si>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</si>
  <si>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</si>
  <si>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</si>
  <si>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</si>
  <si>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</si>
  <si>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</si>
  <si>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</si>
  <si>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</si>
  <si>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</si>
  <si>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</si>
  <si>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</si>
  <si>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</si>
  <si>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</si>
  <si>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</si>
  <si>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</si>
  <si>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</si>
  <si>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</si>
  <si>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</si>
  <si>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</si>
  <si>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</si>
  <si>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</si>
  <si>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</si>
  <si>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</si>
  <si>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</si>
  <si>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</si>
  <si>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</si>
  <si>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</si>
  <si>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</si>
  <si>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</si>
  <si>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</si>
  <si>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</si>
  <si>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</si>
  <si>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</si>
  <si>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</si>
  <si>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</si>
  <si>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</si>
  <si>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</si>
  <si>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</si>
  <si>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</si>
  <si>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</si>
  <si>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</si>
  <si>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</si>
  <si>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</si>
  <si>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</si>
  <si>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</si>
  <si>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</si>
  <si>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</si>
  <si>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</si>
  <si>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</si>
  <si>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</si>
  <si>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</si>
  <si>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</si>
  <si>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</si>
  <si>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</si>
  <si>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</si>
  <si>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</si>
  <si>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</si>
  <si>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</si>
  <si>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</si>
  <si>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</si>
  <si>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</si>
  <si>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</si>
  <si>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</si>
  <si>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</si>
  <si>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</si>
  <si>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</si>
  <si>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</si>
  <si>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</si>
  <si>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</si>
  <si>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</si>
  <si>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</si>
  <si>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</si>
  <si>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</si>
  <si>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</si>
  <si>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</si>
  <si>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</si>
  <si>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</si>
  <si>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</si>
  <si>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</si>
  <si>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</si>
  <si>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</si>
  <si>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</si>
  <si>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</si>
  <si>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</si>
  <si>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</si>
  <si>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</si>
  <si>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</si>
  <si>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</si>
  <si>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</si>
  <si>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</si>
  <si>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</si>
  <si>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</si>
  <si>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</si>
  <si>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</si>
  <si>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</si>
  <si>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</si>
  <si>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</si>
  <si>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</si>
  <si>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</si>
  <si>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</si>
  <si>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</si>
  <si>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</si>
  <si>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</si>
  <si>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</si>
  <si>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</si>
  <si>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</si>
  <si>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</si>
  <si>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</si>
  <si>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</si>
  <si>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</si>
  <si>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</si>
  <si>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</si>
  <si>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</si>
  <si>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</si>
  <si>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</si>
  <si>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</si>
  <si>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</si>
  <si>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</si>
  <si>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</si>
  <si>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</si>
  <si>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</si>
  <si>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</si>
  <si>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</si>
  <si>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</si>
  <si>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</si>
  <si>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</si>
  <si>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</si>
  <si>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</si>
  <si>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</si>
  <si>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</si>
  <si>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</si>
  <si>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</si>
  <si>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</si>
  <si>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</si>
  <si>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</si>
  <si>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</si>
  <si>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</si>
  <si>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</si>
  <si>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</si>
  <si>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</si>
  <si>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</si>
  <si>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</si>
  <si>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</si>
  <si>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</si>
  <si>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</si>
  <si>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</si>
  <si>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</si>
  <si>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</si>
  <si>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</si>
  <si>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</si>
  <si>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</si>
  <si>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</si>
  <si>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</si>
  <si>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</si>
  <si>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</si>
  <si>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</si>
  <si>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</si>
  <si>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</si>
  <si>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</si>
  <si>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</si>
  <si>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</si>
  <si>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</si>
  <si>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</si>
  <si>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</si>
  <si>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</si>
  <si>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</si>
  <si>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</si>
  <si>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</si>
  <si>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</si>
  <si>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</si>
  <si>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</si>
  <si>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</si>
  <si>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</si>
  <si>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</si>
  <si>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</si>
  <si>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</si>
  <si>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</si>
  <si>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</si>
  <si>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</si>
  <si>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</si>
  <si>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</si>
  <si>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</si>
  <si>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</si>
  <si>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</si>
  <si>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</si>
  <si>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</si>
  <si>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</si>
  <si>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</si>
  <si>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</si>
  <si>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</si>
  <si>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</si>
  <si>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</si>
  <si>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</si>
  <si>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</si>
  <si>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</si>
  <si>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</si>
  <si>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</si>
  <si>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</si>
  <si>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</si>
  <si>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</si>
  <si>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</si>
  <si>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</si>
  <si>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</si>
  <si>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</si>
  <si>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</si>
  <si>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</si>
  <si>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</si>
  <si>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</si>
  <si>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</si>
  <si>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</si>
  <si>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</si>
  <si>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</si>
  <si>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</si>
  <si>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</si>
  <si>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</si>
  <si>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</si>
  <si>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</si>
  <si>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</si>
  <si>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</si>
  <si>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</si>
  <si>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</si>
  <si>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</si>
  <si>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</si>
  <si>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</si>
  <si>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</si>
  <si>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</si>
  <si>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</si>
  <si>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</si>
  <si>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</si>
  <si>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</si>
  <si>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</si>
  <si>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</si>
  <si>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</si>
  <si>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</si>
  <si>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</si>
  <si>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</si>
  <si>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</si>
  <si>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</si>
  <si>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</si>
  <si>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</si>
  <si>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</si>
  <si>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</si>
  <si>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</si>
  <si>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</si>
  <si>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</si>
  <si>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</si>
  <si>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</si>
  <si>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</si>
  <si>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</si>
  <si>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</si>
  <si>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</si>
  <si>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</si>
  <si>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</si>
  <si>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</si>
  <si>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</si>
  <si>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</si>
  <si>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</si>
  <si>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</si>
  <si>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</si>
  <si>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</si>
  <si>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</si>
  <si>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</si>
  <si>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</si>
  <si>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</si>
  <si>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</si>
  <si>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</si>
  <si>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</si>
  <si>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</si>
  <si>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</si>
  <si>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</si>
  <si>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</si>
  <si>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</si>
  <si>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</si>
  <si>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</si>
  <si>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</si>
  <si>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</si>
  <si>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</si>
  <si>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</si>
  <si>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</si>
  <si>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</si>
  <si>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</si>
  <si>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</si>
  <si>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</si>
  <si>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</si>
  <si>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</si>
  <si>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</si>
  <si>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</si>
  <si>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</si>
  <si>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</si>
  <si>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</si>
  <si>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</si>
  <si>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</si>
  <si>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</si>
  <si>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</si>
  <si>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</si>
  <si>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</si>
  <si>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</si>
  <si>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</si>
  <si>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</si>
  <si>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</si>
  <si>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</si>
  <si>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</si>
  <si>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</si>
  <si>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</si>
  <si>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</si>
  <si>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</si>
  <si>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</si>
  <si>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</si>
  <si>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</si>
  <si>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</si>
  <si>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</si>
  <si>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</si>
  <si>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</si>
  <si>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</si>
  <si>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</si>
  <si>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</si>
  <si>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</si>
  <si>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</si>
  <si>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</si>
  <si>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</si>
  <si>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</si>
  <si>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</si>
  <si>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</si>
  <si>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</si>
  <si>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</si>
  <si>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</si>
  <si>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</si>
  <si>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</si>
  <si>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</si>
  <si>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</si>
  <si>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</si>
  <si>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</si>
  <si>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</si>
  <si>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</si>
  <si>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</si>
  <si>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</si>
  <si>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</si>
  <si>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</si>
  <si>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</si>
  <si>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</si>
  <si>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</si>
  <si>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</si>
  <si>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</si>
  <si>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</si>
  <si>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</si>
  <si>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</si>
  <si>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</si>
  <si>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</si>
  <si>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</si>
  <si>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</si>
  <si>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</si>
  <si>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</si>
  <si>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</si>
  <si>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</si>
  <si>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</si>
  <si>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</si>
  <si>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</si>
  <si>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</si>
  <si>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</si>
  <si>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</si>
  <si>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</si>
  <si>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</si>
  <si>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</si>
  <si>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</si>
  <si>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</si>
  <si>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</si>
  <si>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</si>
  <si>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</si>
  <si>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</si>
  <si>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</si>
  <si>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</si>
  <si>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</si>
  <si>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</si>
  <si>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</si>
  <si>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</si>
  <si>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</si>
  <si>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</si>
  <si>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</si>
  <si>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</si>
  <si>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</si>
  <si>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</si>
  <si>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</si>
  <si>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</si>
  <si>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</si>
  <si>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</si>
  <si>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</si>
  <si>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</si>
  <si>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</si>
  <si>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</si>
  <si>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</si>
  <si>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</si>
  <si>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</si>
  <si>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</si>
  <si>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</si>
  <si>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</si>
  <si>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</si>
  <si>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</si>
  <si>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</si>
  <si>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</si>
  <si>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</si>
  <si>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</si>
  <si>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</si>
  <si>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</si>
  <si>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</si>
  <si>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</si>
  <si>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</si>
  <si>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</si>
  <si>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</si>
  <si>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</si>
  <si>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</si>
  <si>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</si>
  <si>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</si>
  <si>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</si>
  <si>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</si>
  <si>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</si>
  <si>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</si>
  <si>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</si>
  <si>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</si>
  <si>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</si>
  <si>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</si>
  <si>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</si>
  <si>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</si>
  <si>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</si>
  <si>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</si>
  <si>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</si>
  <si>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</si>
  <si>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</si>
  <si>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</si>
  <si>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</si>
  <si>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</si>
  <si>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</si>
  <si>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</si>
  <si>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</si>
  <si>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</si>
  <si>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</si>
  <si>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</si>
  <si>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</si>
  <si>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</si>
  <si>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</si>
  <si>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</si>
  <si>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</si>
  <si>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</si>
  <si>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</si>
  <si>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</si>
  <si>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</si>
  <si>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</si>
  <si>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</si>
  <si>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</si>
  <si>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</si>
  <si>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</si>
  <si>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</si>
  <si>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</si>
  <si>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</si>
  <si>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</si>
  <si>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</si>
  <si>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</si>
  <si>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</si>
  <si>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</si>
  <si>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</si>
  <si>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</si>
  <si>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</si>
  <si>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</si>
  <si>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</si>
  <si>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</si>
  <si>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</si>
  <si>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</si>
  <si>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</si>
  <si>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</si>
  <si>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</si>
  <si>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</si>
  <si>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</si>
  <si>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</si>
  <si>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</si>
  <si>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</si>
  <si>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</si>
  <si>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</si>
  <si>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</si>
  <si>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</si>
  <si>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</si>
  <si>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</si>
  <si>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</si>
  <si>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</si>
  <si>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</si>
  <si>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</si>
  <si>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</si>
  <si>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</si>
  <si>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</si>
  <si>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</si>
  <si>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</si>
  <si>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</si>
  <si>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</si>
  <si>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</si>
  <si>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</si>
  <si>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</si>
  <si>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</si>
  <si>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</si>
  <si>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</si>
  <si>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</si>
  <si>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</si>
  <si>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</si>
  <si>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</si>
  <si>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</si>
  <si>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</si>
  <si>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</si>
  <si>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</si>
  <si>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</si>
  <si>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</si>
  <si>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</si>
  <si>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</si>
  <si>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</si>
  <si>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</si>
  <si>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</si>
  <si>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</si>
  <si>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</si>
  <si>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</si>
  <si>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</si>
  <si>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</si>
  <si>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</si>
  <si>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</si>
  <si>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</si>
  <si>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</si>
  <si>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</si>
  <si>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</si>
  <si>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</si>
  <si>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</si>
  <si>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</si>
  <si>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</si>
  <si>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</si>
  <si>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</si>
  <si>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</si>
  <si>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</si>
  <si>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</si>
  <si>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</si>
  <si>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</si>
  <si>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</si>
  <si>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</si>
  <si>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</si>
  <si>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</si>
  <si>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</si>
  <si>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</si>
  <si>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</si>
  <si>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</si>
  <si>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</si>
  <si>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</si>
  <si>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</si>
  <si>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</si>
  <si>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</si>
  <si>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</si>
  <si>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</si>
  <si>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</si>
  <si>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</si>
  <si>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</si>
  <si>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</si>
  <si>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</si>
  <si>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</si>
  <si>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</si>
  <si>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</si>
  <si>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</si>
  <si>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</si>
  <si>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</si>
  <si>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</si>
  <si>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</si>
  <si>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</si>
  <si>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</si>
  <si>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</si>
  <si>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</si>
  <si>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</si>
  <si>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</si>
  <si>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</si>
  <si>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</si>
  <si>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</si>
  <si>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</si>
  <si>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</si>
  <si>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</si>
  <si>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</si>
  <si>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</si>
  <si>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</si>
  <si>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</si>
  <si>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</si>
  <si>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</si>
  <si>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</si>
  <si>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</si>
  <si>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</si>
  <si>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</si>
  <si>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</si>
  <si>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</si>
  <si>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</si>
  <si>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</si>
  <si>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</si>
  <si>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</si>
  <si>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</si>
  <si>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</si>
  <si>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</si>
  <si>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</si>
  <si>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</si>
  <si>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</si>
  <si>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</si>
  <si>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</si>
  <si>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</si>
  <si>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</si>
  <si>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</si>
  <si>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</si>
  <si>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</si>
  <si>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</si>
  <si>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</si>
  <si>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</si>
  <si>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</si>
  <si>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</si>
  <si>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</si>
  <si>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</si>
  <si>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</si>
  <si>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</si>
  <si>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</si>
  <si>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</si>
  <si>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</si>
  <si>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</si>
  <si>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</si>
  <si>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</si>
  <si>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</si>
  <si>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</si>
  <si>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</si>
  <si>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</si>
  <si>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</si>
  <si>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</si>
  <si>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</si>
  <si>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</si>
  <si>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</si>
  <si>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</si>
  <si>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</si>
  <si>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</si>
  <si>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</si>
  <si>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</si>
  <si>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</si>
  <si>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</si>
  <si>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</si>
  <si>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</si>
  <si>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</si>
  <si>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</si>
  <si>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</si>
  <si>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</si>
  <si>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</si>
  <si>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</si>
  <si>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</si>
  <si>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</si>
  <si>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</si>
  <si>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</si>
  <si>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</si>
  <si>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</si>
  <si>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</si>
  <si>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</si>
  <si>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</si>
  <si>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</si>
  <si>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</si>
  <si>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</si>
  <si>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</si>
  <si>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</si>
  <si>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</si>
  <si>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</si>
  <si>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</si>
  <si>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</si>
  <si>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</si>
  <si>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</si>
  <si>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</si>
  <si>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</si>
  <si>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</si>
  <si>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</si>
  <si>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</si>
  <si>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</si>
  <si>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</si>
  <si>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</si>
  <si>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</si>
  <si>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</si>
  <si>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</si>
  <si>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</si>
  <si>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</si>
  <si>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</si>
  <si>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</si>
  <si>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</si>
  <si>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</si>
  <si>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</si>
  <si>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</si>
  <si>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</si>
  <si>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</si>
  <si>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</si>
  <si>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</si>
  <si>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</si>
  <si>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</si>
  <si>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</si>
  <si>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</si>
  <si>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</si>
  <si>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</si>
  <si>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</si>
  <si>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</si>
  <si>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</si>
  <si>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</si>
  <si>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</si>
  <si>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</si>
  <si>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</si>
  <si>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</si>
  <si>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</si>
  <si>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</si>
  <si>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</si>
  <si>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</si>
  <si>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</si>
  <si>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</si>
  <si>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</si>
  <si>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</si>
  <si>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</si>
  <si>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</si>
  <si>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</si>
  <si>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</si>
  <si>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</si>
  <si>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</si>
  <si>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</si>
  <si>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</si>
  <si>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</si>
  <si>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</si>
  <si>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</si>
  <si>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</si>
  <si>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</si>
  <si>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</si>
  <si>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</si>
  <si>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</si>
  <si>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</si>
  <si>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</si>
  <si>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</si>
  <si>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</si>
  <si>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</si>
  <si>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</si>
  <si>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</si>
  <si>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</si>
  <si>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</si>
  <si>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</si>
  <si>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</si>
  <si>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</si>
  <si>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</si>
  <si>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</si>
  <si>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</si>
  <si>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</si>
  <si>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</si>
  <si>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</si>
  <si>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</si>
  <si>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</si>
  <si>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</si>
  <si>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</si>
  <si>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</si>
  <si>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</si>
  <si>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</si>
  <si>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</si>
  <si>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</si>
  <si>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</si>
  <si>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</si>
  <si>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</si>
  <si>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</si>
  <si>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</si>
  <si>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</si>
  <si>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</si>
  <si>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</si>
  <si>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</si>
  <si>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</si>
  <si>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</si>
  <si>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</si>
  <si>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</si>
  <si>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</si>
  <si>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</si>
  <si>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</si>
  <si>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</si>
  <si>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</si>
  <si>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</si>
  <si>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</si>
  <si>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</si>
  <si>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</si>
  <si>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</si>
  <si>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</si>
  <si>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</si>
  <si>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</si>
  <si>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</si>
  <si>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</si>
  <si>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</si>
  <si>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</si>
  <si>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</si>
  <si>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</si>
  <si>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</si>
  <si>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</si>
  <si>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</si>
  <si>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</si>
  <si>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</si>
  <si>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</si>
  <si>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</si>
  <si>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</si>
  <si>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</si>
  <si>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</si>
  <si>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</si>
  <si>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</si>
  <si>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</si>
  <si>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</si>
  <si>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</si>
  <si>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</si>
  <si>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</si>
  <si>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</si>
  <si>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</si>
  <si>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</si>
  <si>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</si>
  <si>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</si>
  <si>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</si>
  <si>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</si>
  <si>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</si>
  <si>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</si>
  <si>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</si>
  <si>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</si>
  <si>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</si>
  <si>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</si>
  <si>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</si>
  <si>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</si>
  <si>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</si>
  <si>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</si>
  <si>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</si>
  <si>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</si>
  <si>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</si>
  <si>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</si>
  <si>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</si>
  <si>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</si>
  <si>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</si>
  <si>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</si>
  <si>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</si>
  <si>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</si>
  <si>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</si>
  <si>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</si>
  <si>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</si>
  <si>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</si>
  <si>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</si>
  <si>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</si>
  <si>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</si>
  <si>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</si>
  <si>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</si>
  <si>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</si>
  <si>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</si>
  <si>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</si>
  <si>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</si>
  <si>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</si>
  <si>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</si>
  <si>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</si>
  <si>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</si>
  <si>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</si>
  <si>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</si>
  <si>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</si>
  <si>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</si>
  <si>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</si>
  <si>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</si>
  <si>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</si>
  <si>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</si>
  <si>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</si>
  <si>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</si>
  <si>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</si>
  <si>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</si>
  <si>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</si>
  <si>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</si>
  <si>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</si>
  <si>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</si>
  <si>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</si>
  <si>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</si>
  <si>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</si>
  <si>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</si>
  <si>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</si>
  <si>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</si>
  <si>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</si>
  <si>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</si>
  <si>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</si>
  <si>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</si>
  <si>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</si>
  <si>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</si>
  <si>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</si>
  <si>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</si>
  <si>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</si>
  <si>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</si>
  <si>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</si>
  <si>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</si>
  <si>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</si>
  <si>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</si>
  <si>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</si>
  <si>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</si>
  <si>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</si>
  <si>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</si>
  <si>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</si>
  <si>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</si>
  <si>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</si>
  <si>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</si>
  <si>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</si>
  <si>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</si>
  <si>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</si>
  <si>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</si>
  <si>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</si>
  <si>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</si>
  <si>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</si>
  <si>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</si>
  <si>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</si>
  <si>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</si>
  <si>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</si>
  <si>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</si>
  <si>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</si>
  <si>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</si>
  <si>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</si>
  <si>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</si>
  <si>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</si>
  <si>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</si>
  <si>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</si>
  <si>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</si>
  <si>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</si>
  <si>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</si>
  <si>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</si>
  <si>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</si>
  <si>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</si>
  <si>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</si>
  <si>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</si>
  <si>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</si>
  <si>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</si>
  <si>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</si>
  <si>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</si>
  <si>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</si>
  <si>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</si>
  <si>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</si>
  <si>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</si>
  <si>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</si>
  <si>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</si>
  <si>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</si>
  <si>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</si>
  <si>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</si>
  <si>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</si>
  <si>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</si>
  <si>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</si>
  <si>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</si>
  <si>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</si>
  <si>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</si>
  <si>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</si>
  <si>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</si>
  <si>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</si>
  <si>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</si>
  <si>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</si>
  <si>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</si>
  <si>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</si>
  <si>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</si>
  <si>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</si>
  <si>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</si>
  <si>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</si>
  <si>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</si>
  <si>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</si>
  <si>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</si>
  <si>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</si>
  <si>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</si>
  <si>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</si>
  <si>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</si>
  <si>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</si>
  <si>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</si>
  <si>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</si>
  <si>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</si>
  <si>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</si>
  <si>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</si>
  <si>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</si>
  <si>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</si>
  <si>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</si>
  <si>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</si>
  <si>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</si>
  <si>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</si>
  <si>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</si>
  <si>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</si>
  <si>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</si>
  <si>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</si>
  <si>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</si>
  <si>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</si>
  <si>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</si>
  <si>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</si>
  <si>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</si>
  <si>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</si>
  <si>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</si>
  <si>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</si>
  <si>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</si>
  <si>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</si>
  <si>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</si>
  <si>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</si>
  <si>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</si>
  <si>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</si>
  <si>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</si>
  <si>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</si>
  <si>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</si>
  <si>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</si>
  <si>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</si>
  <si>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</si>
  <si>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</si>
  <si>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</si>
  <si>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</si>
  <si>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</si>
  <si>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</si>
  <si>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</si>
  <si>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</si>
  <si>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</si>
  <si>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</si>
  <si>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</si>
  <si>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</si>
  <si>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</si>
  <si>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</si>
  <si>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</si>
  <si>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</si>
  <si>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</si>
  <si>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</si>
  <si>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</si>
  <si>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</si>
  <si>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</si>
  <si>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</si>
  <si>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</si>
  <si>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</si>
  <si>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</si>
  <si>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</si>
  <si>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</si>
  <si>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</si>
  <si>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</si>
  <si>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</si>
  <si>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</si>
  <si>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</si>
  <si>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</si>
  <si>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</si>
  <si>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</si>
  <si>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</si>
  <si>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</si>
  <si>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</si>
  <si>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</si>
  <si>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</si>
  <si>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</si>
  <si>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</si>
  <si>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</si>
  <si>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</si>
  <si>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</si>
  <si>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</si>
  <si>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</si>
  <si>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</si>
  <si>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</si>
  <si>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</si>
  <si>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</si>
  <si>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</si>
  <si>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</si>
  <si>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</si>
  <si>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</si>
  <si>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</si>
  <si>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</si>
  <si>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</si>
  <si>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</si>
  <si>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</si>
  <si>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</si>
  <si>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</si>
  <si>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</si>
  <si>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</si>
  <si>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</si>
  <si>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</si>
  <si>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</si>
  <si>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</si>
  <si>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</si>
  <si>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</si>
  <si>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</si>
  <si>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</si>
  <si>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</si>
  <si>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</si>
  <si>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</si>
  <si>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</si>
  <si>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</si>
  <si>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</si>
  <si>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</si>
  <si>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</si>
  <si>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</si>
  <si>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</si>
  <si>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</si>
  <si>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</si>
  <si>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</si>
  <si>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</si>
  <si>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</si>
  <si>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</si>
  <si>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</si>
  <si>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</si>
  <si>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</si>
  <si>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</si>
  <si>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</si>
  <si>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</si>
  <si>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</si>
  <si>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</si>
  <si>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</si>
  <si>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</si>
  <si>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</si>
  <si>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</si>
  <si>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</si>
  <si>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</si>
  <si>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</si>
  <si>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</si>
  <si>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</si>
  <si>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</si>
  <si>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</si>
  <si>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</si>
  <si>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</si>
  <si>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</si>
  <si>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</si>
  <si>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</si>
  <si>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</si>
  <si>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</si>
  <si>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</si>
  <si>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</si>
  <si>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</si>
  <si>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</si>
  <si>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</si>
  <si>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</si>
  <si>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</si>
  <si>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</si>
  <si>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</si>
  <si>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</si>
  <si>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</si>
  <si>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</si>
  <si>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</si>
  <si>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</si>
  <si>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</si>
  <si>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</si>
  <si>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</si>
  <si>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</si>
  <si>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</si>
  <si>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</si>
  <si>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</si>
  <si>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</si>
  <si>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</si>
  <si>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</si>
  <si>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</si>
  <si>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</si>
  <si>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</si>
  <si>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</si>
  <si>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</si>
  <si>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</si>
  <si>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</si>
  <si>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</si>
  <si>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</si>
  <si>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</si>
  <si>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</si>
  <si>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</si>
  <si>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</si>
  <si>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</si>
  <si>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</si>
  <si>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</si>
  <si>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</si>
  <si>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</si>
  <si>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</si>
  <si>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</si>
  <si>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</si>
  <si>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</si>
  <si>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</si>
  <si>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</si>
  <si>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</si>
  <si>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</si>
  <si>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</si>
  <si>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</si>
  <si>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</si>
  <si>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</si>
  <si>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</si>
  <si>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</si>
  <si>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</si>
  <si>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</si>
  <si>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</si>
  <si>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</si>
  <si>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</si>
  <si>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</si>
  <si>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</si>
  <si>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</si>
  <si>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</si>
  <si>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</si>
  <si>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</si>
  <si>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</si>
  <si>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</si>
  <si>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</si>
  <si>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</si>
  <si>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</si>
  <si>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</si>
  <si>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</si>
  <si>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</si>
  <si>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</si>
  <si>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</si>
  <si>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</si>
  <si>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</si>
  <si>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</si>
  <si>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</si>
  <si>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</si>
  <si>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</si>
  <si>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</si>
  <si>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</si>
  <si>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</si>
  <si>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</si>
  <si>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</si>
  <si>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</si>
  <si>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</si>
  <si>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</si>
  <si>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</si>
  <si>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</si>
  <si>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</si>
  <si>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</si>
  <si>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</si>
  <si>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</si>
  <si>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</si>
  <si>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</si>
  <si>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</si>
  <si>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</si>
  <si>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</si>
  <si>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</si>
  <si>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</si>
  <si>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</si>
  <si>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</si>
  <si>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</si>
  <si>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</si>
  <si>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</si>
  <si>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</si>
  <si>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</si>
  <si>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</si>
  <si>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</si>
  <si>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</si>
  <si>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</si>
  <si>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</si>
  <si>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</si>
  <si>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</si>
  <si>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</si>
  <si>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</si>
  <si>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</si>
  <si>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</si>
  <si>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</si>
  <si>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</si>
  <si>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</si>
  <si>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</si>
  <si>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</si>
  <si>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</si>
  <si>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</si>
  <si>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</si>
  <si>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</si>
  <si>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</si>
  <si>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</si>
  <si>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</si>
  <si>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</si>
  <si>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</si>
  <si>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</si>
  <si>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</si>
  <si>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</si>
  <si>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</si>
  <si>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</si>
  <si>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</si>
  <si>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</si>
  <si>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</si>
  <si>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</si>
  <si>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</si>
  <si>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</si>
  <si>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</si>
  <si>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</si>
  <si>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</si>
  <si>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</si>
  <si>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</si>
  <si>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</si>
  <si>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</si>
  <si>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</si>
  <si>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</si>
  <si>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</si>
  <si>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</si>
  <si>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</si>
  <si>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</si>
  <si>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</si>
  <si>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</si>
  <si>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</si>
  <si>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</si>
  <si>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</si>
  <si>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</si>
  <si>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</si>
  <si>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</si>
  <si>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</si>
  <si>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</si>
  <si>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</si>
  <si>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</si>
  <si>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</si>
  <si>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</si>
  <si>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</si>
  <si>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</si>
  <si>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</si>
  <si>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</si>
  <si>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</si>
  <si>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</si>
  <si>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</si>
  <si>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</si>
  <si>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</si>
  <si>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</si>
  <si>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</si>
  <si>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</si>
  <si>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</si>
  <si>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</si>
  <si>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</si>
  <si>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</si>
  <si>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</si>
  <si>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</si>
  <si>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</si>
  <si>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</si>
  <si>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</si>
  <si>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</si>
  <si>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</si>
  <si>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</si>
  <si>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</si>
  <si>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</si>
  <si>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</si>
  <si>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</si>
  <si>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</si>
  <si>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</si>
  <si>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</si>
  <si>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</si>
  <si>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</si>
  <si>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</si>
  <si>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</si>
  <si>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</si>
  <si>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</si>
  <si>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</si>
  <si>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</si>
  <si>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</si>
  <si>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</si>
  <si>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</si>
  <si>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</si>
  <si>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</si>
  <si>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</si>
  <si>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</si>
  <si>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</si>
  <si>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</si>
  <si>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</si>
  <si>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</si>
  <si>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</si>
  <si>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</si>
  <si>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</si>
  <si>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</si>
  <si>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</si>
  <si>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</si>
  <si>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</si>
  <si>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</si>
  <si>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</si>
  <si>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</si>
  <si>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</si>
  <si>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</si>
  <si>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</si>
  <si>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</si>
  <si>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</si>
  <si>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</si>
  <si>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</si>
  <si>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</si>
  <si>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</si>
  <si>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</si>
  <si>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</si>
  <si>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</si>
  <si>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</si>
  <si>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</si>
  <si>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</si>
  <si>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</si>
  <si>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</si>
  <si>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</si>
  <si>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</si>
  <si>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</si>
  <si>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</si>
  <si>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</si>
  <si>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</si>
  <si>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</si>
  <si>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</si>
  <si>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</si>
  <si>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</si>
  <si>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</si>
  <si>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</si>
  <si>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</si>
  <si>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</si>
  <si>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</si>
  <si>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</si>
  <si>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</si>
  <si>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</si>
  <si>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</si>
  <si>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</si>
  <si>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</si>
  <si>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</si>
  <si>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</si>
  <si>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</si>
  <si>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</si>
  <si>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</si>
  <si>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</si>
  <si>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</si>
  <si>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</si>
  <si>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</si>
  <si>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</si>
  <si>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</si>
  <si>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</si>
  <si>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</si>
  <si>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</si>
  <si>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</si>
  <si>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</si>
  <si>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</si>
  <si>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</si>
  <si>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</si>
  <si>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</si>
  <si>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</si>
  <si>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</si>
  <si>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</si>
  <si>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</si>
  <si>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</si>
  <si>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</si>
  <si>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</si>
  <si>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</si>
  <si>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</si>
  <si>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</si>
  <si>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</si>
  <si>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</si>
  <si>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</si>
  <si>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</si>
  <si>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</si>
  <si>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</si>
  <si>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</si>
  <si>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</si>
  <si>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</si>
  <si>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</si>
  <si>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</si>
  <si>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</si>
  <si>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</si>
  <si>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</si>
  <si>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</si>
  <si>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</si>
  <si>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</si>
  <si>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</si>
  <si>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</si>
  <si>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</si>
  <si>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</si>
  <si>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</si>
  <si>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</si>
  <si>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</si>
  <si>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</si>
  <si>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</si>
  <si>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</si>
  <si>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</si>
  <si>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</si>
  <si>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</si>
  <si>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</si>
  <si>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</si>
  <si>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</si>
  <si>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</si>
  <si>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</si>
  <si>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</si>
  <si>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</si>
  <si>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</si>
  <si>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</si>
  <si>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</si>
  <si>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</si>
  <si>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</si>
  <si>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</si>
  <si>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</si>
  <si>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</si>
  <si>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</si>
  <si>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</si>
  <si>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</si>
  <si>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</si>
  <si>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</si>
  <si>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</si>
  <si>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</si>
  <si>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</si>
  <si>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</si>
  <si>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</si>
  <si>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</si>
  <si>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</si>
  <si>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</si>
  <si>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</si>
  <si>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</si>
  <si>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</si>
  <si>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</si>
  <si>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</si>
  <si>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</si>
  <si>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</si>
  <si>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</si>
  <si>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</si>
  <si>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</si>
  <si>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</si>
  <si>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</si>
  <si>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</si>
  <si>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</si>
  <si>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</si>
  <si>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</si>
  <si>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</si>
  <si>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</si>
  <si>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</si>
  <si>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</si>
  <si>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</si>
  <si>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</si>
  <si>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</si>
  <si>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</si>
  <si>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</si>
  <si>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</si>
  <si>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</si>
  <si>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</si>
  <si>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</si>
  <si>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</si>
  <si>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</si>
  <si>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</si>
  <si>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</si>
  <si>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</si>
  <si>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</si>
  <si>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</si>
  <si>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</si>
  <si>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</si>
  <si>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</si>
  <si>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</si>
  <si>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</si>
  <si>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</si>
  <si>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</si>
  <si>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</si>
  <si>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</si>
  <si>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</si>
  <si>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</si>
  <si>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</si>
  <si>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</si>
  <si>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</si>
  <si>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</si>
  <si>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</si>
  <si>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</si>
  <si>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</si>
  <si>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</si>
  <si>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</si>
  <si>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</si>
  <si>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</si>
  <si>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</si>
  <si>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</si>
  <si>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</si>
  <si>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</si>
  <si>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</si>
  <si>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</si>
  <si>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</si>
  <si>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</si>
  <si>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</si>
  <si>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</si>
  <si>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</si>
  <si>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</si>
  <si>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</si>
  <si>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</si>
  <si>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</si>
  <si>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</si>
  <si>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</si>
  <si>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</si>
  <si>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</si>
  <si>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</si>
  <si>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</si>
  <si>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</si>
  <si>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</si>
  <si>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</si>
  <si>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</si>
  <si>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</si>
  <si>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</si>
  <si>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</si>
  <si>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</si>
  <si>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</si>
  <si>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</si>
  <si>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</si>
  <si>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</si>
  <si>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</si>
  <si>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</si>
  <si>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</si>
  <si>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</si>
  <si>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</si>
  <si>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</si>
  <si>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</si>
  <si>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</si>
  <si>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</si>
  <si>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</si>
  <si>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</si>
  <si>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</si>
  <si>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</si>
  <si>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</si>
  <si>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</si>
  <si>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</si>
  <si>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</si>
  <si>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</si>
  <si>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</si>
  <si>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</si>
  <si>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</si>
  <si>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</si>
  <si>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</si>
  <si>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</si>
  <si>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</si>
  <si>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</si>
  <si>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</si>
  <si>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</si>
  <si>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</si>
  <si>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</si>
  <si>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</si>
  <si>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</si>
  <si>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</si>
  <si>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</si>
  <si>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</si>
  <si>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</si>
  <si>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</si>
  <si>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</si>
  <si>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</si>
  <si>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</si>
  <si>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</si>
  <si>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</si>
  <si>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</si>
  <si>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</si>
  <si>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</si>
  <si>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</si>
  <si>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</si>
  <si>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</si>
  <si>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</si>
  <si>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</si>
  <si>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</si>
  <si>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</si>
  <si>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</si>
  <si>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</si>
  <si>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</si>
  <si>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</si>
  <si>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</si>
  <si>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</si>
  <si>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</si>
  <si>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</si>
  <si>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</si>
  <si>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</si>
  <si>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</si>
  <si>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</si>
  <si>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</si>
  <si>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</si>
  <si>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</si>
  <si>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</si>
  <si>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</si>
  <si>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</si>
  <si>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</si>
  <si>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</si>
  <si>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</si>
  <si>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</si>
  <si>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</si>
  <si>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</si>
  <si>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</si>
  <si>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</si>
  <si>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</si>
  <si>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</si>
  <si>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</si>
  <si>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</si>
  <si>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</si>
  <si>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</si>
  <si>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</si>
  <si>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</si>
  <si>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</si>
  <si>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</si>
  <si>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</si>
  <si>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</si>
  <si>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</si>
  <si>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</si>
  <si>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</si>
  <si>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</si>
  <si>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</si>
  <si>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</si>
  <si>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</si>
  <si>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</si>
  <si>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</si>
  <si>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</si>
  <si>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</si>
  <si>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</si>
  <si>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</si>
  <si>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</si>
  <si>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</si>
  <si>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</si>
  <si>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</si>
  <si>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</si>
  <si>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</si>
  <si>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</si>
  <si>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</si>
  <si>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</si>
  <si>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</si>
  <si>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</si>
  <si>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</si>
  <si>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</si>
  <si>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</si>
  <si>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</si>
  <si>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</si>
  <si>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</si>
  <si>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</si>
  <si>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</si>
  <si>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</si>
  <si>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</si>
  <si>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</si>
  <si>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</si>
  <si>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</si>
  <si>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</si>
  <si>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</si>
  <si>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</si>
  <si>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</si>
  <si>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</si>
  <si>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</si>
  <si>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</si>
  <si>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</si>
  <si>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</si>
  <si>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</si>
  <si>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</si>
  <si>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</si>
  <si>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</si>
  <si>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</si>
  <si>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</si>
  <si>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</si>
  <si>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</si>
  <si>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</si>
  <si>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</si>
  <si>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</si>
  <si>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</si>
  <si>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</si>
  <si>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</si>
  <si>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</si>
  <si>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</si>
  <si>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</si>
  <si>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</si>
  <si>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</si>
  <si>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</si>
  <si>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</si>
  <si>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</si>
  <si>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</si>
  <si>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</si>
  <si>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</si>
  <si>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</si>
  <si>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</si>
  <si>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</si>
  <si>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</si>
  <si>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</si>
  <si>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</si>
  <si>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</si>
  <si>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</si>
  <si>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</si>
  <si>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</si>
  <si>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</si>
  <si>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</si>
  <si>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</si>
  <si>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</si>
  <si>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</si>
  <si>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</si>
  <si>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</si>
  <si>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</si>
  <si>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</si>
  <si>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</si>
  <si>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</si>
  <si>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</si>
  <si>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</si>
  <si>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</si>
  <si>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</si>
  <si>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</si>
  <si>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</si>
  <si>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</si>
  <si>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</si>
  <si>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</si>
  <si>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</si>
  <si>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</si>
  <si>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</si>
  <si>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</si>
  <si>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</si>
  <si>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</si>
  <si>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</si>
  <si>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</si>
  <si>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</si>
  <si>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</si>
  <si>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</si>
  <si>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</si>
  <si>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</si>
  <si>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</si>
  <si>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</si>
  <si>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</si>
  <si>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</si>
  <si>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</si>
  <si>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</si>
  <si>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</si>
  <si>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</si>
  <si>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</si>
  <si>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</si>
  <si>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</si>
  <si>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</si>
  <si>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</si>
  <si>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</si>
  <si>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</si>
  <si>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</si>
  <si>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</si>
  <si>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</si>
  <si>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</si>
  <si>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</si>
  <si>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</si>
  <si>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</si>
  <si>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</si>
  <si>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</si>
  <si>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</si>
  <si>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</si>
  <si>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</si>
  <si>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</si>
  <si>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</si>
  <si>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</si>
  <si>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</si>
  <si>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</si>
  <si>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</si>
  <si>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</si>
  <si>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</si>
  <si>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</si>
  <si>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</si>
  <si>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</si>
  <si>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</si>
  <si>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</si>
  <si>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</si>
  <si>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</si>
  <si>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</si>
  <si>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</si>
  <si>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</si>
  <si>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</si>
  <si>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</si>
  <si>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</si>
  <si>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</si>
  <si>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</si>
  <si>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</si>
  <si>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</si>
  <si>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</si>
  <si>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</si>
  <si>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</si>
  <si>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</si>
  <si>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</si>
  <si>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</si>
  <si>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</si>
  <si>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</si>
  <si>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</si>
  <si>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</si>
  <si>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</si>
  <si>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</si>
  <si>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</si>
  <si>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</si>
  <si>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</si>
  <si>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</si>
  <si>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</si>
  <si>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</si>
  <si>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</si>
  <si>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</si>
  <si>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</si>
  <si>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</si>
  <si>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</si>
  <si>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</si>
  <si>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</si>
  <si>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</si>
  <si>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</si>
  <si>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</si>
  <si>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</si>
  <si>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</si>
  <si>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</si>
  <si>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</si>
  <si>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</si>
  <si>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</si>
  <si>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</si>
  <si>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</si>
  <si>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</si>
  <si>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</si>
  <si>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</si>
  <si>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</si>
  <si>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</si>
  <si>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</si>
  <si>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</si>
  <si>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</si>
  <si>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</si>
  <si>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</si>
  <si>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</si>
  <si>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</si>
  <si>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</si>
  <si>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</si>
  <si>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</si>
  <si>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</si>
  <si>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</si>
  <si>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</si>
  <si>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</si>
  <si>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</si>
  <si>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</si>
  <si>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</si>
  <si>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</si>
  <si>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</si>
  <si>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</si>
  <si>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</si>
  <si>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</si>
  <si>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</si>
  <si>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</si>
  <si>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</si>
  <si>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</si>
  <si>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</si>
  <si>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</si>
  <si>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</si>
  <si>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</si>
  <si>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</si>
  <si>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</si>
  <si>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</si>
  <si>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</si>
  <si>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</si>
  <si>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</si>
  <si>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</si>
  <si>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</si>
  <si>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</si>
  <si>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</si>
  <si>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</si>
  <si>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</si>
  <si>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</si>
  <si>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</si>
  <si>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</si>
  <si>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</si>
  <si>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</si>
  <si>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</si>
  <si>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</si>
  <si>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</si>
  <si>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</si>
  <si>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</si>
  <si>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</si>
  <si>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</si>
  <si>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</si>
  <si>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</si>
  <si>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</si>
  <si>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</si>
  <si>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</si>
  <si>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</si>
  <si>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</si>
  <si>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</si>
  <si>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</si>
  <si>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</si>
  <si>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</si>
  <si>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</si>
  <si>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</si>
  <si>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</si>
  <si>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</si>
  <si>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</si>
  <si>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</si>
  <si>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</si>
  <si>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</si>
  <si>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</si>
  <si>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</si>
  <si>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</si>
  <si>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</si>
  <si>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</si>
  <si>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</si>
  <si>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</si>
  <si>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</si>
  <si>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</si>
  <si>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</si>
  <si>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</si>
  <si>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</si>
  <si>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</si>
  <si>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</si>
  <si>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</si>
  <si>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</si>
  <si>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</si>
  <si>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</si>
  <si>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</si>
  <si>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</si>
  <si>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</si>
  <si>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</si>
  <si>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</si>
  <si>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</si>
  <si>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</si>
  <si>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</si>
  <si>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</si>
  <si>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</si>
  <si>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</si>
  <si>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</si>
  <si>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</si>
  <si>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</si>
  <si>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</si>
  <si>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</si>
  <si>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</si>
  <si>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</si>
  <si>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</si>
  <si>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</si>
  <si>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</si>
  <si>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</si>
  <si>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</si>
  <si>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</si>
  <si>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</si>
  <si>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</si>
  <si>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</si>
  <si>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</si>
  <si>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</si>
  <si>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</si>
  <si>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</si>
  <si>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</si>
  <si>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</si>
  <si>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</si>
  <si>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</si>
  <si>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</si>
  <si>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</si>
  <si>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</si>
  <si>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</si>
  <si>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</si>
  <si>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</si>
  <si>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</si>
  <si>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</si>
  <si>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</si>
  <si>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</si>
  <si>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</si>
  <si>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</si>
  <si>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</si>
  <si>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</si>
  <si>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</si>
  <si>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</si>
  <si>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</si>
  <si>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</si>
  <si>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</si>
  <si>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</si>
  <si>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</si>
  <si>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</si>
  <si>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</si>
  <si>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</si>
  <si>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</si>
  <si>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</si>
  <si>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</si>
  <si>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</si>
  <si>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</si>
  <si>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</si>
  <si>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</si>
  <si>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</si>
  <si>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</si>
  <si>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</si>
  <si>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</si>
  <si>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</si>
  <si>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</si>
  <si>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</si>
  <si>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</si>
  <si>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</si>
  <si>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</si>
  <si>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</si>
  <si>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</si>
  <si>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</si>
  <si>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</si>
  <si>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</si>
  <si>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</si>
  <si>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</si>
  <si>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</si>
  <si>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</si>
  <si>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</si>
  <si>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</si>
  <si>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</si>
  <si>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</si>
  <si>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</si>
  <si>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</si>
  <si>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</si>
  <si>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</si>
  <si>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</si>
  <si>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</si>
  <si>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</si>
  <si>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</si>
  <si>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</si>
  <si>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</si>
  <si>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</si>
  <si>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</si>
  <si>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</si>
  <si>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</si>
  <si>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</si>
  <si>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</si>
  <si>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</si>
  <si>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</si>
  <si>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</si>
  <si>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</si>
  <si>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</si>
  <si>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</si>
  <si>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</si>
  <si>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</si>
  <si>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</si>
  <si>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</si>
  <si>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</si>
  <si>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</si>
  <si>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</si>
  <si>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</si>
  <si>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</si>
  <si>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</si>
  <si>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</si>
  <si>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</si>
  <si>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</si>
  <si>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</si>
  <si>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</si>
  <si>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</si>
  <si>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</si>
  <si>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</si>
  <si>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</si>
  <si>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</si>
  <si>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</si>
  <si>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</si>
  <si>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</si>
  <si>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</si>
  <si>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</si>
  <si>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</si>
  <si>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</si>
  <si>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</si>
  <si>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</si>
  <si>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</si>
  <si>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</si>
  <si>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</si>
  <si>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</si>
  <si>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</si>
  <si>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</si>
  <si>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</si>
  <si>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</si>
  <si>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</si>
  <si>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</si>
  <si>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</si>
  <si>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</si>
  <si>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</si>
  <si>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</si>
  <si>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</si>
  <si>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</si>
  <si>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</si>
  <si>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</si>
  <si>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</si>
  <si>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</si>
  <si>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</si>
  <si>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</si>
  <si>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</si>
  <si>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</si>
  <si>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</si>
  <si>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</si>
  <si>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</si>
  <si>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</si>
  <si>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</si>
  <si>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</si>
  <si>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</si>
  <si>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</si>
  <si>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</si>
  <si>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</si>
  <si>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</si>
  <si>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</si>
  <si>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</si>
  <si>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</si>
  <si>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</si>
  <si>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</si>
  <si>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</si>
  <si>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</si>
  <si>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</si>
  <si>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</si>
  <si>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</si>
  <si>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</si>
  <si>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</si>
  <si>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</si>
  <si>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</si>
  <si>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</si>
  <si>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</si>
  <si>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</si>
  <si>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</si>
  <si>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</si>
  <si>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</si>
  <si>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</si>
  <si>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</si>
  <si>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</si>
  <si>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</si>
  <si>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</si>
  <si>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</si>
  <si>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</si>
  <si>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</si>
  <si>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</si>
  <si>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</si>
  <si>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</si>
  <si>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</si>
  <si>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</si>
  <si>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</si>
  <si>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</si>
  <si>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</si>
  <si>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</si>
  <si>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</si>
  <si>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</si>
  <si>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</si>
  <si>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</si>
  <si>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</si>
  <si>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</si>
  <si>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</si>
  <si>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</si>
  <si>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</si>
  <si>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</si>
  <si>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</si>
  <si>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</si>
  <si>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</si>
  <si>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</si>
  <si>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</si>
  <si>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</si>
  <si>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</si>
  <si>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</si>
  <si>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</si>
  <si>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</si>
  <si>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</si>
  <si>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</si>
  <si>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</si>
  <si>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</si>
  <si>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</si>
  <si>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</si>
  <si>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</si>
  <si>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</si>
  <si>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</si>
  <si>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</si>
  <si>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</si>
  <si>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</si>
  <si>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</si>
  <si>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</si>
  <si>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</si>
  <si>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</si>
  <si>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</si>
  <si>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</si>
  <si>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</si>
  <si>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</si>
  <si>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</si>
  <si>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</si>
  <si>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</si>
  <si>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</si>
  <si>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</si>
  <si>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</si>
  <si>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</si>
  <si>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</si>
  <si>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</si>
  <si>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</si>
  <si>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</si>
  <si>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</si>
  <si>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</si>
  <si>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</si>
  <si>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</si>
  <si>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</si>
  <si>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</si>
  <si>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</si>
  <si>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</si>
  <si>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</si>
  <si>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</si>
  <si>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</si>
  <si>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</si>
  <si>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</si>
  <si>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</si>
  <si>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</si>
  <si>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</si>
  <si>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</si>
  <si>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</si>
  <si>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</si>
  <si>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</si>
  <si>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</si>
  <si>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</si>
  <si>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</si>
  <si>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</si>
  <si>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</si>
  <si>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</si>
  <si>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</si>
  <si>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</si>
  <si>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</si>
  <si>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</si>
  <si>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</si>
  <si>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</si>
  <si>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</si>
  <si>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</si>
  <si>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</si>
  <si>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</si>
  <si>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</si>
  <si>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</si>
  <si>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</si>
  <si>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</si>
  <si>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</si>
  <si>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</si>
  <si>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</si>
  <si>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</si>
  <si>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</si>
  <si>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</si>
  <si>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</si>
  <si>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</si>
  <si>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</si>
  <si>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</si>
  <si>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</si>
  <si>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</si>
  <si>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</si>
  <si>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</si>
  <si>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</si>
  <si>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</si>
  <si>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</si>
  <si>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</si>
  <si>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</si>
  <si>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</si>
  <si>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</si>
  <si>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</si>
  <si>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</si>
  <si>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</si>
  <si>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</si>
  <si>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</si>
  <si>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</si>
  <si>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</si>
  <si>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</si>
  <si>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</si>
  <si>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</si>
  <si>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</si>
  <si>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</si>
  <si>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</si>
  <si>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</si>
  <si>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</si>
  <si>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</si>
  <si>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</si>
  <si>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</si>
  <si>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</si>
  <si>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</si>
  <si>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</si>
  <si>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</si>
  <si>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</si>
  <si>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</si>
  <si>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</si>
  <si>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</si>
  <si>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</si>
  <si>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</si>
  <si>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</si>
  <si>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</si>
  <si>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</si>
  <si>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</si>
  <si>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</si>
  <si>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</si>
  <si>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</si>
  <si>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</si>
  <si>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</si>
  <si>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</si>
  <si>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</si>
  <si>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</si>
  <si>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</si>
  <si>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</si>
  <si>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</si>
  <si>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</si>
  <si>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</si>
  <si>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</si>
  <si>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</si>
  <si>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</si>
  <si>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</si>
  <si>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</si>
  <si>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</si>
  <si>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</si>
  <si>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</si>
  <si>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</si>
  <si>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</si>
  <si>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</si>
  <si>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</si>
  <si>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</si>
  <si>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</si>
  <si>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</si>
  <si>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</si>
  <si>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</si>
  <si>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</si>
  <si>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</si>
  <si>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</si>
  <si>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</si>
  <si>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</si>
  <si>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</si>
  <si>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</si>
  <si>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</si>
  <si>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</si>
  <si>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</si>
  <si>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</si>
  <si>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</si>
  <si>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</si>
  <si>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</si>
  <si>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</si>
  <si>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</si>
  <si>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</si>
  <si>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</si>
  <si>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</si>
  <si>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</si>
  <si>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</si>
  <si>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</si>
  <si>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</si>
  <si>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</si>
  <si>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</si>
  <si>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</si>
  <si>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</si>
  <si>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</si>
  <si>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</si>
  <si>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</si>
  <si>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</si>
  <si>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</si>
  <si>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</si>
  <si>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</si>
  <si>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</si>
  <si>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</si>
  <si>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</si>
  <si>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</si>
  <si>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</si>
  <si>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</si>
  <si>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</si>
  <si>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</si>
  <si>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</si>
  <si>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</si>
  <si>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</si>
  <si>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</si>
  <si>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</si>
  <si>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</si>
  <si>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</si>
  <si>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</si>
  <si>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</si>
  <si>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</si>
  <si>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</si>
  <si>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</si>
  <si>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</si>
  <si>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</si>
  <si>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</si>
  <si>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</si>
  <si>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</si>
  <si>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</si>
  <si>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</si>
  <si>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</si>
  <si>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</si>
  <si>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</si>
  <si>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</si>
  <si>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</si>
  <si>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</si>
  <si>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</si>
  <si>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</si>
  <si>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</si>
  <si>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</si>
  <si>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</si>
  <si>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</si>
  <si>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</si>
  <si>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</si>
  <si>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</si>
  <si>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</si>
  <si>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</si>
  <si>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</si>
  <si>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</si>
  <si>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</si>
  <si>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</si>
  <si>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</si>
  <si>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</si>
  <si>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</si>
  <si>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</si>
  <si>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</si>
  <si>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</si>
  <si>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</si>
  <si>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</si>
  <si>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</si>
  <si>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</si>
  <si>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</si>
  <si>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</si>
  <si>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</si>
  <si>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</si>
  <si>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</si>
  <si>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</si>
  <si>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</si>
  <si>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</si>
  <si>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</si>
  <si>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</si>
  <si>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</si>
  <si>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</si>
  <si>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</si>
  <si>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</si>
  <si>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</si>
  <si>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</si>
  <si>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</si>
  <si>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</si>
  <si>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</si>
  <si>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</si>
  <si>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</si>
  <si>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</si>
  <si>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</si>
  <si>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</si>
  <si>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</si>
  <si>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</si>
  <si>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</si>
  <si>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</si>
  <si>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</si>
  <si>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</si>
  <si>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</si>
  <si>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</si>
  <si>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</si>
  <si>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</si>
  <si>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</si>
  <si>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</si>
  <si>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</si>
  <si>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</si>
  <si>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</si>
  <si>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</si>
  <si>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</si>
  <si>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</si>
  <si>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</si>
  <si>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</si>
  <si>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</si>
  <si>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</si>
  <si>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</si>
  <si>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</si>
  <si>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</si>
  <si>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</si>
  <si>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</si>
  <si>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</si>
  <si>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</si>
  <si>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</si>
  <si>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</si>
  <si>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</si>
  <si>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</si>
  <si>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</si>
  <si>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</si>
  <si>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</si>
  <si>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</si>
  <si>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</si>
  <si>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</si>
  <si>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</si>
  <si>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</si>
  <si>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</si>
  <si>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</si>
  <si>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</si>
  <si>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</si>
  <si>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</si>
  <si>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</si>
  <si>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</si>
  <si>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</si>
  <si>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</si>
  <si>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</si>
  <si>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</si>
  <si>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</si>
  <si>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</si>
  <si>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</si>
  <si>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</si>
  <si>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</si>
  <si>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</si>
  <si>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</si>
  <si>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</si>
  <si>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</si>
  <si>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</si>
  <si>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</si>
  <si>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</si>
  <si>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</si>
  <si>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</si>
  <si>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</si>
  <si>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</si>
  <si>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</si>
  <si>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</si>
  <si>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</si>
  <si>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</si>
  <si>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</si>
  <si>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</si>
  <si>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</si>
  <si>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</si>
  <si>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</si>
  <si>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</si>
  <si>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</si>
  <si>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</si>
  <si>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</si>
  <si>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</si>
  <si>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</si>
  <si>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</si>
  <si>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</si>
  <si>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</si>
  <si>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</si>
  <si>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</si>
  <si>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</si>
  <si>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</si>
  <si>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</si>
  <si>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</si>
  <si>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</si>
  <si>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</si>
  <si>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</si>
  <si>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</si>
  <si>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</si>
  <si>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</si>
  <si>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</si>
  <si>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</si>
  <si>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</si>
  <si>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</si>
  <si>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</si>
  <si>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</si>
  <si>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</si>
  <si>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</si>
  <si>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</si>
  <si>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</si>
  <si>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</si>
  <si>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</si>
  <si>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</si>
  <si>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</si>
  <si>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</si>
  <si>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</si>
  <si>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</si>
  <si>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</si>
  <si>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</si>
  <si>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</si>
  <si>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</si>
  <si>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</si>
  <si>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</si>
  <si>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</si>
  <si>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</si>
  <si>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</si>
  <si>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</si>
  <si>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</si>
  <si>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</si>
  <si>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</si>
  <si>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</si>
  <si>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</si>
  <si>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</si>
  <si>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</si>
  <si>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</si>
  <si>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</si>
  <si>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</si>
  <si>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</si>
  <si>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</si>
  <si>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</si>
  <si>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</si>
  <si>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</si>
  <si>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</si>
  <si>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</si>
  <si>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</si>
  <si>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</si>
  <si>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</si>
  <si>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</si>
  <si>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</si>
  <si>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</si>
  <si>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</si>
  <si>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</si>
  <si>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</si>
  <si>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</si>
  <si>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</si>
  <si>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</si>
  <si>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</si>
  <si>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</si>
  <si>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</si>
  <si>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</si>
  <si>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</si>
  <si>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</si>
  <si>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</si>
  <si>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</si>
  <si>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</si>
  <si>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</si>
  <si>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</si>
  <si>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</si>
  <si>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</si>
  <si>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</si>
  <si>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</si>
  <si>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</si>
  <si>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</si>
  <si>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</si>
  <si>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</si>
  <si>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</si>
  <si>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</si>
  <si>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</si>
  <si>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</si>
  <si>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</si>
  <si>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</si>
  <si>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</si>
  <si>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</si>
  <si>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</si>
  <si>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</si>
  <si>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</si>
  <si>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</si>
  <si>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</si>
  <si>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</si>
  <si>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</si>
  <si>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</si>
  <si>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</si>
  <si>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</si>
  <si>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</si>
  <si>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</si>
  <si>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</si>
  <si>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</si>
  <si>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</si>
  <si>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</si>
  <si>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</si>
  <si>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</si>
  <si>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</si>
  <si>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</si>
  <si>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</si>
  <si>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</si>
  <si>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</si>
  <si>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</si>
  <si>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</si>
  <si>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</si>
  <si>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</si>
  <si>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</si>
  <si>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</si>
  <si>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</si>
  <si>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</si>
  <si>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</si>
  <si>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</si>
  <si>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</si>
  <si>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</si>
  <si>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</si>
  <si>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</si>
  <si>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</si>
  <si>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</si>
  <si>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</si>
  <si>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</si>
  <si>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</si>
  <si>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</si>
  <si>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</si>
  <si>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</si>
  <si>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</si>
  <si>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</si>
  <si>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</si>
  <si>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</si>
  <si>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</si>
  <si>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</si>
  <si>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</si>
  <si>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</si>
  <si>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</si>
  <si>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</si>
  <si>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</si>
  <si>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</si>
  <si>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</si>
  <si>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</si>
  <si>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</si>
  <si>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</si>
  <si>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</si>
  <si>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</si>
  <si>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</si>
  <si>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</si>
  <si>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</si>
  <si>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</si>
  <si>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</si>
  <si>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</si>
  <si>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</si>
  <si>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</si>
  <si>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</si>
  <si>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</si>
  <si>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</si>
  <si>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</si>
  <si>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</si>
  <si>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</si>
  <si>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</si>
  <si>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</si>
  <si>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</si>
  <si>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</si>
  <si>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</si>
  <si>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</si>
  <si>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</si>
  <si>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</si>
  <si>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</si>
  <si>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</si>
  <si>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</si>
  <si>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</si>
  <si>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</si>
  <si>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</si>
  <si>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</si>
  <si>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</si>
  <si>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</si>
  <si>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</si>
  <si>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</si>
  <si>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</si>
  <si>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</si>
  <si>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</si>
  <si>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</si>
  <si>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</si>
  <si>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</si>
  <si>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</si>
  <si>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</si>
  <si>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</si>
  <si>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</si>
  <si>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</si>
  <si>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</si>
  <si>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</si>
  <si>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</si>
  <si>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</si>
  <si>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</si>
  <si>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</si>
  <si>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</si>
  <si>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</si>
  <si>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</si>
  <si>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</si>
  <si>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</si>
  <si>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</si>
  <si>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</si>
  <si>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</si>
  <si>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</si>
  <si>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</si>
  <si>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</si>
  <si>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</si>
  <si>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</si>
  <si>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</si>
  <si>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</si>
  <si>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</si>
  <si>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</si>
  <si>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</si>
  <si>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</si>
  <si>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</si>
  <si>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</si>
  <si>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</si>
  <si>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</si>
  <si>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</si>
  <si>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</si>
  <si>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</si>
  <si>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</si>
  <si>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</si>
  <si>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</si>
  <si>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</si>
  <si>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</si>
  <si>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</si>
  <si>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</si>
  <si>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</si>
  <si>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</si>
  <si>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</si>
  <si>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</si>
  <si>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</si>
  <si>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</si>
  <si>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</si>
  <si>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</si>
  <si>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</si>
  <si>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</si>
  <si>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</si>
  <si>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</si>
  <si>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</si>
  <si>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</si>
  <si>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</si>
  <si>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</si>
  <si>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</si>
  <si>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</si>
  <si>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</si>
  <si>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</si>
  <si>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</si>
  <si>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</si>
  <si>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</si>
  <si>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</si>
  <si>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</si>
  <si>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</si>
  <si>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</si>
  <si>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</si>
  <si>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</si>
  <si>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</si>
  <si>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</si>
  <si>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</si>
  <si>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</si>
  <si>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</si>
  <si>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</si>
  <si>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</si>
  <si>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</si>
  <si>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</si>
  <si>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</si>
  <si>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</si>
  <si>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</si>
  <si>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</si>
  <si>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</si>
  <si>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</si>
  <si>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</si>
  <si>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</si>
  <si>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</si>
  <si>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</si>
  <si>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</si>
  <si>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</si>
  <si>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</si>
  <si>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</si>
  <si>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</si>
  <si>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</si>
  <si>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</si>
  <si>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</si>
  <si>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</si>
  <si>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</si>
  <si>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</si>
  <si>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</si>
  <si>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</si>
  <si>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</si>
  <si>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</si>
  <si>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</si>
  <si>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</si>
  <si>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</si>
  <si>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</si>
  <si>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</si>
  <si>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</si>
  <si>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</si>
  <si>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</si>
  <si>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</si>
  <si>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</si>
  <si>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</si>
  <si>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</si>
  <si>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</si>
  <si>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</si>
  <si>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</si>
  <si>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</si>
  <si>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</si>
  <si>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</si>
  <si>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</si>
  <si>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</si>
  <si>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</si>
  <si>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</si>
  <si>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</si>
  <si>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</si>
  <si>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</si>
  <si>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</si>
  <si>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</si>
  <si>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</si>
  <si>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</si>
  <si>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</si>
  <si>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</si>
  <si>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</si>
  <si>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</si>
  <si>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</si>
  <si>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</si>
  <si>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</si>
  <si>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</si>
  <si>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</si>
  <si>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</si>
  <si>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</si>
  <si>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</si>
  <si>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</si>
  <si>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</si>
  <si>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</si>
  <si>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</si>
  <si>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</si>
  <si>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</si>
  <si>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</si>
  <si>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</si>
  <si>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</si>
  <si>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</si>
  <si>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</si>
  <si>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</si>
  <si>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</si>
  <si>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</si>
  <si>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</si>
  <si>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</si>
  <si>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</si>
  <si>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</si>
  <si>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</si>
  <si>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</si>
  <si>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</si>
  <si>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</si>
  <si>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</si>
  <si>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</si>
  <si>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</si>
  <si>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</si>
  <si>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</si>
  <si>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</si>
  <si>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</si>
  <si>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</si>
  <si>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</si>
  <si>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</si>
  <si>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</si>
  <si>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</si>
  <si>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</si>
  <si>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</si>
  <si>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</si>
  <si>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</si>
  <si>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</si>
  <si>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</si>
  <si>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</si>
  <si>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</si>
  <si>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</si>
  <si>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</si>
  <si>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</si>
  <si>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</si>
  <si>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</si>
  <si>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</si>
  <si>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</si>
  <si>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</si>
  <si>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</si>
  <si>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</si>
  <si>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</si>
  <si>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</si>
  <si>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</si>
  <si>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</si>
  <si>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</si>
  <si>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</si>
  <si>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</si>
  <si>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</si>
  <si>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</si>
  <si>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</si>
  <si>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</si>
  <si>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</si>
  <si>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</si>
  <si>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</si>
  <si>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</si>
  <si>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</si>
  <si>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</si>
  <si>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</si>
  <si>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</si>
  <si>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</si>
  <si>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</si>
  <si>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</si>
  <si>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</si>
  <si>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</si>
  <si>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</si>
  <si>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</si>
  <si>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</si>
  <si>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</si>
  <si>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</si>
  <si>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</si>
  <si>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</si>
  <si>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</si>
  <si>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</si>
  <si>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</si>
  <si>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</si>
  <si>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</si>
  <si>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</si>
  <si>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</si>
  <si>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</si>
  <si>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</si>
  <si>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</si>
  <si>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</si>
  <si>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</si>
  <si>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</si>
  <si>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</si>
  <si>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</si>
  <si>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</si>
  <si>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</si>
  <si>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</si>
  <si>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</si>
  <si>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</si>
  <si>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</si>
  <si>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</si>
  <si>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</si>
  <si>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</si>
  <si>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</si>
  <si>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</si>
  <si>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</si>
  <si>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</si>
  <si>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</si>
  <si>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</si>
  <si>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</si>
  <si>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</si>
  <si>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</si>
  <si>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</si>
  <si>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</si>
  <si>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</si>
  <si>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</si>
  <si>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</si>
  <si>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</si>
  <si>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</si>
  <si>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</si>
  <si>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</si>
  <si>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</si>
  <si>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</si>
  <si>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</si>
  <si>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</si>
  <si>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</si>
  <si>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</si>
  <si>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</si>
  <si>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</si>
  <si>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</si>
  <si>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</si>
  <si>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</si>
  <si>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</si>
  <si>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</si>
  <si>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</si>
  <si>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</si>
  <si>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</si>
  <si>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</si>
  <si>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</si>
  <si>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</si>
  <si>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</si>
  <si>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</si>
  <si>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</si>
  <si>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</si>
  <si>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</si>
  <si>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</si>
  <si>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</si>
  <si>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</si>
  <si>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</si>
  <si>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</si>
  <si>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</si>
  <si>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</si>
  <si>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</si>
  <si>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</si>
  <si>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</si>
  <si>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</si>
  <si>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</si>
  <si>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</si>
  <si>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</si>
  <si>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</si>
  <si>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</si>
  <si>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</si>
  <si>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</si>
  <si>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</si>
  <si>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</si>
  <si>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</si>
  <si>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</si>
  <si>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</si>
  <si>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</si>
  <si>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</si>
  <si>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</si>
  <si>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</si>
  <si>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</si>
  <si>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</si>
  <si>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</si>
  <si>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</si>
  <si>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</si>
  <si>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</si>
  <si>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</si>
  <si>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</si>
  <si>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</si>
  <si>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</si>
  <si>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</si>
  <si>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</si>
  <si>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</si>
  <si>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</si>
  <si>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</si>
  <si>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</si>
  <si>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</si>
  <si>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</si>
  <si>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</si>
  <si>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</si>
  <si>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</si>
  <si>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</si>
  <si>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</si>
  <si>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</si>
  <si>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</si>
  <si>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</si>
  <si>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</si>
  <si>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</si>
  <si>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</si>
  <si>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</si>
  <si>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</si>
  <si>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</si>
  <si>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</si>
  <si>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</si>
  <si>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</si>
  <si>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</si>
  <si>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</si>
  <si>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</si>
  <si>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</si>
  <si>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</si>
  <si>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</si>
  <si>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</si>
  <si>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</si>
  <si>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</si>
  <si>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</si>
  <si>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</si>
  <si>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</si>
  <si>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</si>
  <si>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</si>
  <si>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</si>
  <si>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</si>
  <si>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</si>
  <si>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</si>
  <si>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</si>
  <si>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</si>
  <si>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</si>
  <si>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</si>
  <si>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</si>
  <si>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</si>
  <si>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</si>
  <si>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</si>
  <si>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</si>
  <si>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</si>
  <si>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</si>
  <si>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</si>
  <si>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</si>
  <si>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</si>
  <si>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</si>
  <si>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</si>
  <si>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</si>
  <si>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</si>
  <si>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</si>
  <si>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</si>
  <si>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</si>
  <si>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</si>
  <si>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</si>
  <si>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</si>
  <si>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</si>
  <si>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</si>
  <si>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</si>
  <si>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</si>
  <si>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</si>
  <si>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</si>
  <si>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</si>
  <si>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</si>
  <si>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</si>
  <si>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</si>
  <si>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</si>
  <si>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</si>
  <si>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</si>
  <si>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</si>
  <si>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</si>
  <si>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</si>
  <si>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</si>
  <si>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</si>
  <si>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</si>
  <si>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</si>
  <si>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</si>
  <si>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</si>
  <si>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</si>
  <si>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</si>
  <si>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</si>
  <si>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</si>
  <si>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</si>
  <si>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</si>
  <si>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</si>
  <si>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</si>
  <si>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</si>
  <si>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</si>
  <si>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</si>
  <si>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</si>
  <si>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</si>
  <si>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</si>
  <si>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</si>
  <si>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</si>
  <si>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</si>
  <si>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</si>
  <si>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</si>
  <si>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</si>
  <si>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</si>
  <si>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</si>
  <si>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</si>
  <si>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</si>
  <si>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</si>
  <si>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</si>
  <si>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</si>
  <si>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</si>
  <si>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</si>
  <si>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</si>
  <si>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</si>
  <si>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</si>
  <si>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</si>
  <si>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</si>
  <si>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</si>
  <si>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</si>
  <si>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</si>
  <si>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</si>
  <si>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</si>
  <si>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</si>
  <si>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</si>
  <si>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</si>
  <si>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</si>
  <si>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</si>
  <si>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</si>
  <si>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</si>
  <si>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</si>
  <si>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</si>
  <si>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</si>
  <si>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</si>
  <si>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</si>
  <si>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</si>
  <si>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</si>
  <si>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</si>
  <si>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</si>
  <si>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</si>
  <si>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</si>
  <si>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</si>
  <si>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</si>
  <si>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</si>
  <si>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</si>
  <si>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</si>
  <si>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</si>
  <si>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</si>
  <si>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</si>
  <si>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</si>
  <si>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</si>
  <si>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</si>
  <si>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</si>
  <si>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</si>
  <si>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</si>
  <si>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</si>
  <si>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</si>
  <si>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</si>
  <si>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</si>
  <si>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</si>
  <si>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</si>
  <si>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</si>
  <si>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</si>
  <si>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</si>
  <si>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</si>
  <si>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</si>
  <si>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</si>
  <si>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</si>
  <si>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</si>
  <si>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</si>
  <si>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</si>
  <si>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</si>
  <si>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</si>
  <si>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</si>
  <si>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</si>
  <si>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</si>
  <si>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</si>
  <si>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</si>
  <si>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</si>
  <si>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</si>
  <si>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</si>
  <si>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</si>
  <si>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</si>
  <si>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</si>
  <si>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</si>
  <si>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</si>
  <si>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</si>
  <si>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</si>
  <si>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</si>
  <si>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</si>
  <si>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</si>
  <si>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</si>
  <si>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</si>
  <si>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</si>
  <si>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</si>
  <si>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</si>
  <si>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</si>
  <si>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</si>
  <si>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</si>
  <si>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</si>
  <si>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</si>
  <si>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</si>
  <si>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</si>
  <si>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</si>
  <si>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</si>
  <si>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</si>
  <si>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</si>
  <si>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</si>
  <si>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</si>
  <si>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</si>
  <si>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</si>
  <si>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</si>
  <si>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</si>
  <si>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</si>
  <si>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</si>
  <si>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</si>
  <si>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</si>
  <si>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</si>
  <si>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</si>
  <si>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</si>
  <si>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</si>
  <si>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</si>
  <si>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</si>
  <si>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</si>
  <si>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</si>
  <si>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</si>
  <si>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</si>
  <si>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</si>
  <si>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</si>
  <si>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</si>
  <si>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</si>
  <si>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</si>
  <si>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</si>
  <si>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</si>
  <si>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</si>
  <si>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</si>
  <si>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</si>
  <si>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</si>
  <si>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</si>
  <si>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</si>
  <si>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</si>
  <si>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</si>
  <si>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</si>
  <si>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</si>
  <si>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</si>
  <si>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</si>
  <si>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</si>
  <si>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</si>
  <si>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</si>
  <si>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</si>
  <si>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</si>
  <si>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</si>
  <si>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</si>
  <si>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</si>
  <si>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</si>
  <si>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</si>
  <si>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</si>
  <si>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</si>
  <si>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</si>
  <si>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</si>
  <si>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</si>
  <si>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</si>
  <si>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</si>
  <si>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</si>
  <si>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</si>
  <si>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</si>
  <si>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</si>
  <si>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</si>
  <si>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</si>
  <si>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</si>
  <si>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</si>
  <si>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</si>
  <si>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</si>
  <si>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</si>
  <si>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</si>
  <si>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</si>
  <si>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</si>
  <si>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</si>
  <si>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</si>
  <si>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</si>
  <si>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</si>
  <si>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</si>
  <si>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</si>
  <si>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</si>
  <si>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</si>
  <si>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</si>
  <si>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</si>
  <si>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</si>
  <si>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</si>
  <si>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</si>
  <si>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</si>
  <si>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</si>
  <si>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</si>
  <si>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</si>
  <si>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</si>
  <si>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</si>
  <si>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</si>
  <si>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</si>
  <si>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</si>
  <si>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</si>
  <si>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</si>
  <si>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</si>
  <si>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</si>
  <si>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</si>
  <si>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</si>
  <si>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</si>
  <si>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</si>
  <si>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</si>
  <si>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</si>
  <si>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</si>
  <si>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</si>
  <si>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</si>
  <si>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</si>
  <si>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</si>
  <si>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</si>
  <si>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</si>
  <si>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</si>
  <si>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</si>
  <si>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</si>
  <si>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</si>
  <si>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</si>
  <si>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</si>
  <si>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</si>
  <si>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</si>
  <si>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</si>
  <si>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</si>
  <si>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</si>
  <si>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</si>
  <si>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</si>
  <si>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</si>
  <si>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</si>
  <si>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</si>
  <si>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</si>
  <si>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</si>
  <si>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</si>
  <si>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</si>
  <si>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</si>
  <si>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</si>
  <si>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</si>
  <si>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</si>
  <si>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</si>
  <si>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</si>
  <si>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</si>
  <si>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</si>
  <si>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</si>
  <si>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</si>
  <si>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</si>
  <si>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</si>
  <si>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</si>
  <si>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</si>
  <si>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</si>
  <si>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</si>
  <si>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</si>
  <si>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پارس 308 تا 3550</t>
  </si>
  <si>
    <t>واریز از ملت علی به بورس علی</t>
  </si>
  <si>
    <t>شسپا</t>
  </si>
  <si>
    <t>واریز از ملت علی به بورس علی 17/5</t>
  </si>
  <si>
    <t>از حساب بورس که برای علی بود</t>
  </si>
  <si>
    <t>بدهی به مهدی 17/5/1397 840 تا پارس 3551 2996680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</si>
  <si>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</si>
  <si>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</si>
  <si>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</si>
  <si>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</si>
  <si>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</si>
  <si>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پارس 229 تا 3450</t>
  </si>
  <si>
    <t>پارس 840 تا 3551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</si>
  <si>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</si>
  <si>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</si>
  <si>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</si>
  <si>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</si>
  <si>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</si>
  <si>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</si>
  <si>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</si>
  <si>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</si>
  <si>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</si>
  <si>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</si>
  <si>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</si>
  <si>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</si>
  <si>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</si>
  <si>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</si>
  <si>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</si>
  <si>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</si>
  <si>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</si>
  <si>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</si>
  <si>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</si>
  <si>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</si>
  <si>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</si>
  <si>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</si>
  <si>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</si>
  <si>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</si>
  <si>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</si>
  <si>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</si>
  <si>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</si>
  <si>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</si>
  <si>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</si>
  <si>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</si>
  <si>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</si>
  <si>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</si>
  <si>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</si>
  <si>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</si>
  <si>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</si>
  <si>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</si>
  <si>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</si>
  <si>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</si>
  <si>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</si>
  <si>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</si>
  <si>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</si>
  <si>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</si>
  <si>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</si>
  <si>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</si>
  <si>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</si>
  <si>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 xml:space="preserve">حقوق تیر 5.8 0 0.8 کارت رفاهی 2 ماه بدون حقوق مرداد </t>
  </si>
  <si>
    <t>حقوق مرداد 3.611078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</si>
  <si>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</si>
  <si>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</si>
  <si>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</si>
  <si>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</si>
  <si>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</si>
  <si>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</si>
  <si>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</si>
  <si>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</si>
  <si>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</si>
  <si>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</si>
  <si>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</si>
  <si>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</si>
  <si>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</si>
  <si>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</si>
  <si>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</si>
  <si>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</si>
  <si>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</si>
  <si>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</si>
  <si>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پارس 734 تا 3383.8</t>
  </si>
  <si>
    <t>5/6/1397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</si>
  <si>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</si>
  <si>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</si>
  <si>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</si>
  <si>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</si>
  <si>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طلب از رضا</t>
  </si>
  <si>
    <t>فروش پارس</t>
  </si>
  <si>
    <t>بعد از کارمزد</t>
  </si>
  <si>
    <t>مبلغ دریافتی</t>
  </si>
  <si>
    <t>خرید وغدیر</t>
  </si>
  <si>
    <t>سود تعداد سهام</t>
  </si>
  <si>
    <t>مبلغ پرداختی</t>
  </si>
  <si>
    <t>وغدیر</t>
  </si>
  <si>
    <t>7/6/1397</t>
  </si>
  <si>
    <t>واریز از کارت انصار مریم</t>
  </si>
  <si>
    <t>واریز از بانک انصار مریم</t>
  </si>
  <si>
    <t>وغدیر 114407 تا 164</t>
  </si>
  <si>
    <t>علی دوم</t>
  </si>
  <si>
    <t>علی اول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</si>
  <si>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</si>
  <si>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</si>
  <si>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</si>
  <si>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</si>
  <si>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</si>
  <si>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</si>
  <si>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</si>
  <si>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</si>
  <si>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بدهی وام انصار</t>
  </si>
  <si>
    <t>حساب انصار</t>
  </si>
  <si>
    <t>سوییچ بین سکه9712 و سکه 9812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</si>
  <si>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</si>
  <si>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</si>
  <si>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</si>
  <si>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</si>
  <si>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</si>
  <si>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بدهی به رضا 9/6/97</t>
  </si>
  <si>
    <t>10/6/1397</t>
  </si>
  <si>
    <t>واریز به بورس از ملت علی 10/6</t>
  </si>
  <si>
    <t>وغدیر 3128 تا 159.1</t>
  </si>
  <si>
    <t>تلفن</t>
  </si>
  <si>
    <t>محمدعلی سهمانی</t>
  </si>
  <si>
    <t>11/6/1397</t>
  </si>
  <si>
    <t>وغدیر 1306 تا 152.4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</si>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</sst>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2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1" borderId="1" xfId="0" applyNumberFormat="1" applyFill="1" applyBorder="1" applyAlignment="1">
      <alignment horizontal="center"/>
    </xf>
    <xf numFmtId="0" fontId="0" fillId="31" borderId="1" xfId="0" applyFill="1" applyBorder="1"/>
    <xf numFmtId="0" fontId="0" fillId="32" borderId="1" xfId="0" applyFill="1" applyBorder="1"/>
    <xf numFmtId="0" fontId="0" fillId="31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24" borderId="1" xfId="0" applyFill="1" applyBorder="1" applyAlignment="1">
      <alignment horizontal="justify" vertical="center" wrapText="1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A10" workbookViewId="0">
      <selection activeCell="E42" sqref="E42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14.140625" bestFit="1" customWidth="1"/>
    <col min="4" max="4" width="15.85546875" bestFit="1" customWidth="1"/>
    <col min="5" max="5" width="40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4103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4100</v>
      </c>
      <c r="B3" s="18">
        <v>3000000</v>
      </c>
      <c r="C3" s="18">
        <v>0</v>
      </c>
      <c r="D3" s="121">
        <f t="shared" ref="D3:D22" si="0">B3-C3</f>
        <v>3000000</v>
      </c>
      <c r="E3" s="20" t="s">
        <v>4102</v>
      </c>
      <c r="F3" s="100">
        <v>30</v>
      </c>
      <c r="G3" s="100">
        <f t="shared" ref="G3:G23" si="1">B3*F3</f>
        <v>90000000</v>
      </c>
      <c r="H3" s="100">
        <f t="shared" ref="H3:H23" si="2">C3*F3</f>
        <v>0</v>
      </c>
      <c r="I3" s="100">
        <f t="shared" ref="I3:I23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4111</v>
      </c>
      <c r="B4" s="18">
        <v>-35800</v>
      </c>
      <c r="C4" s="18">
        <v>0</v>
      </c>
      <c r="D4" s="117">
        <f t="shared" si="0"/>
        <v>-35800</v>
      </c>
      <c r="E4" s="103" t="s">
        <v>4006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4110</v>
      </c>
      <c r="B5" s="18">
        <v>3600000</v>
      </c>
      <c r="C5" s="18">
        <v>0</v>
      </c>
      <c r="D5" s="117">
        <f t="shared" si="0"/>
        <v>3600000</v>
      </c>
      <c r="E5" s="20" t="s">
        <v>3926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4110</v>
      </c>
      <c r="B6" s="18">
        <v>-33377</v>
      </c>
      <c r="C6" s="18">
        <v>0</v>
      </c>
      <c r="D6" s="117">
        <f t="shared" si="0"/>
        <v>-33377</v>
      </c>
      <c r="E6" s="19" t="s">
        <v>4116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4148</v>
      </c>
      <c r="B7" s="18">
        <v>-9800000</v>
      </c>
      <c r="C7" s="18">
        <v>0</v>
      </c>
      <c r="D7" s="117">
        <f t="shared" si="0"/>
        <v>-9800000</v>
      </c>
      <c r="E7" s="19" t="s">
        <v>1245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4148</v>
      </c>
      <c r="B8" s="18">
        <v>18000000</v>
      </c>
      <c r="C8" s="18">
        <v>0</v>
      </c>
      <c r="D8" s="117">
        <f t="shared" si="0"/>
        <v>18000000</v>
      </c>
      <c r="E8" s="19" t="s">
        <v>4149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4148</v>
      </c>
      <c r="B9" s="18">
        <v>-9000000</v>
      </c>
      <c r="C9" s="18">
        <v>0</v>
      </c>
      <c r="D9" s="117">
        <f t="shared" si="0"/>
        <v>-9000000</v>
      </c>
      <c r="E9" s="21" t="s">
        <v>1245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4148</v>
      </c>
      <c r="B10" s="18">
        <v>-11600</v>
      </c>
      <c r="C10" s="18">
        <v>0</v>
      </c>
      <c r="D10" s="117">
        <f t="shared" si="0"/>
        <v>-11600</v>
      </c>
      <c r="E10" s="19" t="s">
        <v>4155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4148</v>
      </c>
      <c r="B11" s="18">
        <v>-3304327</v>
      </c>
      <c r="C11" s="18">
        <v>0</v>
      </c>
      <c r="D11" s="117">
        <f t="shared" si="0"/>
        <v>-3304327</v>
      </c>
      <c r="E11" s="19" t="s">
        <v>4156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4160</v>
      </c>
      <c r="B12" s="18">
        <v>-3000900</v>
      </c>
      <c r="C12" s="18">
        <v>0</v>
      </c>
      <c r="D12" s="117">
        <f t="shared" si="0"/>
        <v>-3000900</v>
      </c>
      <c r="E12" s="20" t="s">
        <v>4161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4167</v>
      </c>
      <c r="B13" s="18">
        <v>-2760900</v>
      </c>
      <c r="C13" s="18">
        <v>0</v>
      </c>
      <c r="D13" s="117">
        <f t="shared" si="0"/>
        <v>-2760900</v>
      </c>
      <c r="E13" s="20" t="s">
        <v>4168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0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16" t="s">
        <v>6</v>
      </c>
      <c r="B24" s="117">
        <f>SUM(B2:B22)</f>
        <v>13347</v>
      </c>
      <c r="C24" s="117">
        <f>SUM(C2:C22)</f>
        <v>7835443</v>
      </c>
      <c r="D24" s="117">
        <f>SUM(D2:D22)</f>
        <v>-7822096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00"/>
      <c r="B25" s="100"/>
      <c r="C25" s="100"/>
      <c r="D25" s="100"/>
      <c r="E25" s="100"/>
      <c r="F25" s="100"/>
      <c r="G25" s="18">
        <f>SUM(G2:G23)</f>
        <v>45323854</v>
      </c>
      <c r="H25" s="18">
        <f>SUM(H2:H23)</f>
        <v>242898733</v>
      </c>
      <c r="I25" s="18">
        <f>SUM(I2:I23)</f>
        <v>-197574879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42">
        <v>-11953237</v>
      </c>
      <c r="E30" s="41" t="s">
        <v>95</v>
      </c>
      <c r="F30" s="100"/>
      <c r="G30" s="18">
        <v>600</v>
      </c>
      <c r="H30" s="18">
        <f>G30*H25/G25</f>
        <v>3215.508544352826</v>
      </c>
      <c r="I30" s="18">
        <f>G30*I25/G25</f>
        <v>-2615.508544352826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/>
      <c r="C31" s="100"/>
      <c r="D31" s="42">
        <v>814100</v>
      </c>
      <c r="E31" s="54" t="s">
        <v>4104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18"/>
      <c r="C32" s="100"/>
      <c r="D32" s="42">
        <v>-80000</v>
      </c>
      <c r="E32" s="41" t="s">
        <v>4108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-3600000</v>
      </c>
      <c r="E33" s="41" t="s">
        <v>4109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33377</v>
      </c>
      <c r="E34" s="41" t="s">
        <v>4117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ht="45" x14ac:dyDescent="0.25">
      <c r="A35" s="100"/>
      <c r="B35" s="100"/>
      <c r="C35" s="100"/>
      <c r="D35" s="118">
        <v>-2495233</v>
      </c>
      <c r="E35" s="54" t="s">
        <v>4136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3304327</v>
      </c>
      <c r="E36" s="41" t="s">
        <v>4157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10000</v>
      </c>
      <c r="E37" s="41" t="s">
        <v>4158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3000900</v>
      </c>
      <c r="E38" s="41" t="s">
        <v>4159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2760900</v>
      </c>
      <c r="E39" s="41" t="s">
        <v>4169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-500000</v>
      </c>
      <c r="E40" s="41" t="s">
        <v>4172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-200000</v>
      </c>
      <c r="E41" s="41" t="s">
        <v>1244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0</v>
      </c>
      <c r="E42" s="41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0</v>
      </c>
      <c r="E43" s="41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0</v>
      </c>
      <c r="E44" s="41"/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0</v>
      </c>
      <c r="E45" s="41"/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0</v>
      </c>
      <c r="E46" s="41"/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0</v>
      </c>
      <c r="E47" s="41"/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0</v>
      </c>
      <c r="E48" s="41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0</v>
      </c>
      <c r="E49" s="41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0</v>
      </c>
      <c r="E50" s="41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0</v>
      </c>
      <c r="E51" s="41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/>
      <c r="E52" s="41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 t="s">
        <v>25</v>
      </c>
      <c r="E53" s="41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/>
      <c r="E54" s="41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/>
      <c r="E55" s="41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f>SUM(D30:D54)</f>
        <v>-8904866</v>
      </c>
      <c r="E57" s="100" t="s">
        <v>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/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00"/>
      <c r="E60" s="100" t="s">
        <v>25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76" activePane="bottomLeft" state="frozen"/>
      <selection pane="bottomLeft" activeCell="F192" sqref="F192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873</v>
      </c>
      <c r="H2" s="36">
        <f>IF(B2&gt;0,1,0)</f>
        <v>1</v>
      </c>
      <c r="I2" s="11">
        <f>B2*(G2-H2)</f>
        <v>14562400</v>
      </c>
      <c r="J2" s="53">
        <f>C2*(G2-H2)</f>
        <v>14562400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872</v>
      </c>
      <c r="H3" s="36">
        <f t="shared" ref="H3:H66" si="2">IF(B3&gt;0,1,0)</f>
        <v>1</v>
      </c>
      <c r="I3" s="11">
        <f t="shared" ref="I3:I66" si="3">B3*(G3-H3)</f>
        <v>17332900000</v>
      </c>
      <c r="J3" s="53">
        <f t="shared" ref="J3:J66" si="4">C3*(G3-H3)</f>
        <v>9918077000</v>
      </c>
      <c r="K3" s="53">
        <f t="shared" ref="K3:K66" si="5">D3*(G3-H3)</f>
        <v>7414823000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872</v>
      </c>
      <c r="H4" s="36">
        <f t="shared" si="2"/>
        <v>0</v>
      </c>
      <c r="I4" s="11">
        <f t="shared" si="3"/>
        <v>0</v>
      </c>
      <c r="J4" s="53">
        <f t="shared" si="4"/>
        <v>7412000</v>
      </c>
      <c r="K4" s="53">
        <f t="shared" si="5"/>
        <v>-7412000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870</v>
      </c>
      <c r="H5" s="36">
        <f t="shared" si="2"/>
        <v>1</v>
      </c>
      <c r="I5" s="11">
        <f t="shared" si="3"/>
        <v>1738000000</v>
      </c>
      <c r="J5" s="53">
        <f t="shared" si="4"/>
        <v>0</v>
      </c>
      <c r="K5" s="53">
        <f t="shared" si="5"/>
        <v>1738000000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863</v>
      </c>
      <c r="H6" s="36">
        <f t="shared" si="2"/>
        <v>0</v>
      </c>
      <c r="I6" s="11">
        <f t="shared" si="3"/>
        <v>-4315000</v>
      </c>
      <c r="J6" s="53">
        <f t="shared" si="4"/>
        <v>0</v>
      </c>
      <c r="K6" s="53">
        <f t="shared" si="5"/>
        <v>-4315000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859</v>
      </c>
      <c r="H7" s="36">
        <f t="shared" si="2"/>
        <v>0</v>
      </c>
      <c r="I7" s="11">
        <f t="shared" si="3"/>
        <v>-1031229500</v>
      </c>
      <c r="J7" s="53">
        <f t="shared" si="4"/>
        <v>0</v>
      </c>
      <c r="K7" s="53">
        <f t="shared" si="5"/>
        <v>-1031229500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858</v>
      </c>
      <c r="H8" s="36">
        <f t="shared" si="2"/>
        <v>0</v>
      </c>
      <c r="I8" s="11">
        <f t="shared" si="3"/>
        <v>-171600000</v>
      </c>
      <c r="J8" s="53">
        <f t="shared" si="4"/>
        <v>0</v>
      </c>
      <c r="K8" s="53">
        <f t="shared" si="5"/>
        <v>-171600000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856</v>
      </c>
      <c r="H9" s="36">
        <f t="shared" si="2"/>
        <v>0</v>
      </c>
      <c r="I9" s="11">
        <f t="shared" si="3"/>
        <v>-603908000</v>
      </c>
      <c r="J9" s="53">
        <f t="shared" si="4"/>
        <v>0</v>
      </c>
      <c r="K9" s="53">
        <f t="shared" si="5"/>
        <v>-603908000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847</v>
      </c>
      <c r="H10" s="36">
        <f t="shared" si="2"/>
        <v>0</v>
      </c>
      <c r="I10" s="11">
        <f t="shared" si="3"/>
        <v>-169400000</v>
      </c>
      <c r="J10" s="53">
        <f t="shared" si="4"/>
        <v>0</v>
      </c>
      <c r="K10" s="53">
        <f t="shared" si="5"/>
        <v>-169400000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847</v>
      </c>
      <c r="H11" s="36">
        <f t="shared" si="2"/>
        <v>1</v>
      </c>
      <c r="I11" s="11">
        <f t="shared" si="3"/>
        <v>846000000</v>
      </c>
      <c r="J11" s="53">
        <f t="shared" si="4"/>
        <v>0</v>
      </c>
      <c r="K11" s="53">
        <f t="shared" si="5"/>
        <v>846000000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843</v>
      </c>
      <c r="H12" s="36">
        <f t="shared" si="2"/>
        <v>0</v>
      </c>
      <c r="I12" s="11">
        <f t="shared" si="3"/>
        <v>-252900000</v>
      </c>
      <c r="J12" s="53">
        <f t="shared" si="4"/>
        <v>0</v>
      </c>
      <c r="K12" s="53">
        <f t="shared" si="5"/>
        <v>-252900000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838</v>
      </c>
      <c r="H13" s="36">
        <f t="shared" si="2"/>
        <v>0</v>
      </c>
      <c r="I13" s="11">
        <f t="shared" si="3"/>
        <v>-51956000</v>
      </c>
      <c r="J13" s="53">
        <f t="shared" si="4"/>
        <v>0</v>
      </c>
      <c r="K13" s="53">
        <f t="shared" si="5"/>
        <v>-51956000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838</v>
      </c>
      <c r="H14" s="36">
        <f t="shared" si="2"/>
        <v>1</v>
      </c>
      <c r="I14" s="11">
        <f t="shared" si="3"/>
        <v>1674000000</v>
      </c>
      <c r="J14" s="53">
        <f t="shared" si="4"/>
        <v>0</v>
      </c>
      <c r="K14" s="53">
        <f t="shared" si="5"/>
        <v>1674000000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837</v>
      </c>
      <c r="H15" s="36">
        <f t="shared" si="2"/>
        <v>1</v>
      </c>
      <c r="I15" s="11">
        <f t="shared" si="3"/>
        <v>1504800000</v>
      </c>
      <c r="J15" s="53">
        <f t="shared" si="4"/>
        <v>0</v>
      </c>
      <c r="K15" s="53">
        <f t="shared" si="5"/>
        <v>1504800000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837</v>
      </c>
      <c r="H16" s="36">
        <f t="shared" si="2"/>
        <v>0</v>
      </c>
      <c r="I16" s="11">
        <f t="shared" si="3"/>
        <v>-167400000</v>
      </c>
      <c r="J16" s="53">
        <f t="shared" si="4"/>
        <v>0</v>
      </c>
      <c r="K16" s="53">
        <f t="shared" si="5"/>
        <v>-167400000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833</v>
      </c>
      <c r="H17" s="36">
        <f t="shared" si="2"/>
        <v>0</v>
      </c>
      <c r="I17" s="11">
        <f t="shared" si="3"/>
        <v>-1666000000</v>
      </c>
      <c r="J17" s="53">
        <f t="shared" si="4"/>
        <v>0</v>
      </c>
      <c r="K17" s="53">
        <f t="shared" si="5"/>
        <v>-1666000000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832</v>
      </c>
      <c r="H18" s="36">
        <f t="shared" si="2"/>
        <v>0</v>
      </c>
      <c r="I18" s="11">
        <f t="shared" si="3"/>
        <v>-249600000</v>
      </c>
      <c r="J18" s="53">
        <f t="shared" si="4"/>
        <v>0</v>
      </c>
      <c r="K18" s="53">
        <f t="shared" si="5"/>
        <v>-249600000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831</v>
      </c>
      <c r="H19" s="36">
        <f t="shared" si="2"/>
        <v>0</v>
      </c>
      <c r="I19" s="11">
        <f t="shared" si="3"/>
        <v>-166200000</v>
      </c>
      <c r="J19" s="53">
        <f t="shared" si="4"/>
        <v>0</v>
      </c>
      <c r="K19" s="53">
        <f t="shared" si="5"/>
        <v>-166200000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829</v>
      </c>
      <c r="H20" s="36">
        <f t="shared" si="2"/>
        <v>1</v>
      </c>
      <c r="I20" s="11">
        <f t="shared" si="3"/>
        <v>224461692</v>
      </c>
      <c r="J20" s="53">
        <f t="shared" si="4"/>
        <v>122090256</v>
      </c>
      <c r="K20" s="53">
        <f t="shared" si="5"/>
        <v>102371436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827</v>
      </c>
      <c r="H21" s="36">
        <f t="shared" si="2"/>
        <v>0</v>
      </c>
      <c r="I21" s="11">
        <f t="shared" si="3"/>
        <v>-1245213900</v>
      </c>
      <c r="J21" s="53">
        <f t="shared" si="4"/>
        <v>0</v>
      </c>
      <c r="K21" s="53">
        <f t="shared" si="5"/>
        <v>-1245213900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824</v>
      </c>
      <c r="H22" s="36">
        <f t="shared" si="2"/>
        <v>1</v>
      </c>
      <c r="I22" s="11">
        <f t="shared" si="3"/>
        <v>2469000000</v>
      </c>
      <c r="J22" s="53">
        <f t="shared" si="4"/>
        <v>0</v>
      </c>
      <c r="K22" s="53">
        <f t="shared" si="5"/>
        <v>2469000000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823</v>
      </c>
      <c r="H23" s="36">
        <f t="shared" si="2"/>
        <v>1</v>
      </c>
      <c r="I23" s="11">
        <f t="shared" si="3"/>
        <v>822000000</v>
      </c>
      <c r="J23" s="53">
        <f t="shared" si="4"/>
        <v>0</v>
      </c>
      <c r="K23" s="53">
        <f t="shared" si="5"/>
        <v>822000000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822</v>
      </c>
      <c r="H24" s="36">
        <f t="shared" si="2"/>
        <v>0</v>
      </c>
      <c r="I24" s="11">
        <f t="shared" si="3"/>
        <v>-2466739800</v>
      </c>
      <c r="J24" s="53">
        <f t="shared" si="4"/>
        <v>0</v>
      </c>
      <c r="K24" s="53">
        <f t="shared" si="5"/>
        <v>-2466739800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807</v>
      </c>
      <c r="H25" s="36">
        <f t="shared" si="2"/>
        <v>1</v>
      </c>
      <c r="I25" s="11">
        <f t="shared" si="3"/>
        <v>1209000000</v>
      </c>
      <c r="J25" s="53">
        <f t="shared" si="4"/>
        <v>0</v>
      </c>
      <c r="K25" s="53">
        <f t="shared" si="5"/>
        <v>1209000000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799</v>
      </c>
      <c r="H26" s="36">
        <f t="shared" si="2"/>
        <v>0</v>
      </c>
      <c r="I26" s="11">
        <f t="shared" si="3"/>
        <v>-131036000</v>
      </c>
      <c r="J26" s="53">
        <f t="shared" si="4"/>
        <v>0</v>
      </c>
      <c r="K26" s="53">
        <f t="shared" si="5"/>
        <v>-131036000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798</v>
      </c>
      <c r="H27" s="36">
        <f t="shared" si="2"/>
        <v>1</v>
      </c>
      <c r="I27" s="11">
        <f t="shared" si="3"/>
        <v>158916221</v>
      </c>
      <c r="J27" s="53">
        <f t="shared" si="4"/>
        <v>85608161</v>
      </c>
      <c r="K27" s="53">
        <f t="shared" si="5"/>
        <v>73308060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796</v>
      </c>
      <c r="H28" s="36">
        <f t="shared" si="2"/>
        <v>0</v>
      </c>
      <c r="I28" s="11">
        <f t="shared" si="3"/>
        <v>-175916000</v>
      </c>
      <c r="J28" s="53">
        <f t="shared" si="4"/>
        <v>-175916000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796</v>
      </c>
      <c r="H29" s="36">
        <f t="shared" si="2"/>
        <v>0</v>
      </c>
      <c r="I29" s="11">
        <f t="shared" si="3"/>
        <v>-398398000</v>
      </c>
      <c r="J29" s="53">
        <f t="shared" si="4"/>
        <v>0</v>
      </c>
      <c r="K29" s="53">
        <f t="shared" si="5"/>
        <v>-398398000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796</v>
      </c>
      <c r="H30" s="36">
        <f t="shared" si="2"/>
        <v>0</v>
      </c>
      <c r="I30" s="11">
        <f t="shared" si="3"/>
        <v>-11940000000</v>
      </c>
      <c r="J30" s="53">
        <f t="shared" si="4"/>
        <v>-11940000000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779</v>
      </c>
      <c r="H31" s="36">
        <f t="shared" si="2"/>
        <v>0</v>
      </c>
      <c r="I31" s="11">
        <f t="shared" si="3"/>
        <v>-2345491100</v>
      </c>
      <c r="J31" s="53">
        <f t="shared" si="4"/>
        <v>0</v>
      </c>
      <c r="K31" s="53">
        <f t="shared" si="5"/>
        <v>-2345491100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777</v>
      </c>
      <c r="H32" s="36">
        <f t="shared" si="2"/>
        <v>0</v>
      </c>
      <c r="I32" s="11">
        <f t="shared" si="3"/>
        <v>-2335584300</v>
      </c>
      <c r="J32" s="53">
        <f t="shared" si="4"/>
        <v>0</v>
      </c>
      <c r="K32" s="53">
        <f t="shared" si="5"/>
        <v>-2335584300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776</v>
      </c>
      <c r="H33" s="36">
        <f t="shared" si="2"/>
        <v>0</v>
      </c>
      <c r="I33" s="11">
        <f t="shared" si="3"/>
        <v>-694908000</v>
      </c>
      <c r="J33" s="53">
        <f t="shared" si="4"/>
        <v>0</v>
      </c>
      <c r="K33" s="53">
        <f t="shared" si="5"/>
        <v>-694908000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776</v>
      </c>
      <c r="H34" s="36">
        <f t="shared" si="2"/>
        <v>0</v>
      </c>
      <c r="I34" s="11">
        <f t="shared" si="3"/>
        <v>0</v>
      </c>
      <c r="J34" s="53">
        <f t="shared" si="4"/>
        <v>776000000</v>
      </c>
      <c r="K34" s="53">
        <f t="shared" si="5"/>
        <v>-776000000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767</v>
      </c>
      <c r="H35" s="36">
        <f t="shared" si="2"/>
        <v>1</v>
      </c>
      <c r="I35" s="11">
        <f t="shared" si="3"/>
        <v>40193552</v>
      </c>
      <c r="J35" s="53">
        <f t="shared" si="4"/>
        <v>-16593858</v>
      </c>
      <c r="K35" s="53">
        <f t="shared" si="5"/>
        <v>56787410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767</v>
      </c>
      <c r="H36" s="36">
        <f t="shared" si="2"/>
        <v>0</v>
      </c>
      <c r="I36" s="11">
        <f t="shared" si="3"/>
        <v>0</v>
      </c>
      <c r="J36" s="53">
        <f t="shared" si="4"/>
        <v>16615521</v>
      </c>
      <c r="K36" s="53">
        <f t="shared" si="5"/>
        <v>-16615521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757</v>
      </c>
      <c r="H37" s="36">
        <f t="shared" si="2"/>
        <v>0</v>
      </c>
      <c r="I37" s="11">
        <f t="shared" si="3"/>
        <v>-41635000</v>
      </c>
      <c r="J37" s="53">
        <f t="shared" si="4"/>
        <v>0</v>
      </c>
      <c r="K37" s="53">
        <f t="shared" si="5"/>
        <v>-41635000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756</v>
      </c>
      <c r="H38" s="36">
        <f t="shared" si="2"/>
        <v>1</v>
      </c>
      <c r="I38" s="11">
        <f t="shared" si="3"/>
        <v>2265000000</v>
      </c>
      <c r="J38" s="53">
        <f t="shared" si="4"/>
        <v>2265000000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755</v>
      </c>
      <c r="H39" s="36">
        <f t="shared" si="2"/>
        <v>1</v>
      </c>
      <c r="I39" s="11">
        <f t="shared" si="3"/>
        <v>1885000000</v>
      </c>
      <c r="J39" s="53">
        <f t="shared" si="4"/>
        <v>1885000000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755</v>
      </c>
      <c r="H40" s="36">
        <f t="shared" si="2"/>
        <v>0</v>
      </c>
      <c r="I40" s="11">
        <f t="shared" si="3"/>
        <v>-37750000</v>
      </c>
      <c r="J40" s="53">
        <f t="shared" si="4"/>
        <v>0</v>
      </c>
      <c r="K40" s="53">
        <f t="shared" si="5"/>
        <v>-37750000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755</v>
      </c>
      <c r="H41" s="36">
        <f t="shared" si="2"/>
        <v>1</v>
      </c>
      <c r="I41" s="11">
        <f t="shared" si="3"/>
        <v>2262000000</v>
      </c>
      <c r="J41" s="53">
        <f t="shared" si="4"/>
        <v>0</v>
      </c>
      <c r="K41" s="53">
        <f t="shared" si="5"/>
        <v>2262000000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752</v>
      </c>
      <c r="H42" s="36">
        <f t="shared" si="2"/>
        <v>0</v>
      </c>
      <c r="I42" s="11">
        <f t="shared" si="3"/>
        <v>-67078400</v>
      </c>
      <c r="J42" s="53">
        <f t="shared" si="4"/>
        <v>0</v>
      </c>
      <c r="K42" s="53">
        <f t="shared" si="5"/>
        <v>-67078400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748</v>
      </c>
      <c r="H43" s="36">
        <f t="shared" si="2"/>
        <v>0</v>
      </c>
      <c r="I43" s="11">
        <f t="shared" si="3"/>
        <v>-149600000</v>
      </c>
      <c r="J43" s="53">
        <f t="shared" si="4"/>
        <v>0</v>
      </c>
      <c r="K43" s="53">
        <f t="shared" si="5"/>
        <v>-149600000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746</v>
      </c>
      <c r="H44" s="36">
        <f t="shared" si="2"/>
        <v>0</v>
      </c>
      <c r="I44" s="11">
        <f t="shared" si="3"/>
        <v>-149200000</v>
      </c>
      <c r="J44" s="53">
        <f t="shared" si="4"/>
        <v>0</v>
      </c>
      <c r="K44" s="53">
        <f t="shared" si="5"/>
        <v>-149200000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746</v>
      </c>
      <c r="H45" s="36">
        <f t="shared" si="2"/>
        <v>0</v>
      </c>
      <c r="I45" s="11">
        <f t="shared" si="3"/>
        <v>-417760000</v>
      </c>
      <c r="J45" s="53">
        <f t="shared" si="4"/>
        <v>0</v>
      </c>
      <c r="K45" s="53">
        <f t="shared" si="5"/>
        <v>-417760000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742</v>
      </c>
      <c r="H46" s="36">
        <f t="shared" si="2"/>
        <v>0</v>
      </c>
      <c r="I46" s="11">
        <f t="shared" si="3"/>
        <v>-523481000</v>
      </c>
      <c r="J46" s="53">
        <f t="shared" si="4"/>
        <v>0</v>
      </c>
      <c r="K46" s="53">
        <f t="shared" si="5"/>
        <v>-523481000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736</v>
      </c>
      <c r="H47" s="36">
        <f t="shared" si="2"/>
        <v>1</v>
      </c>
      <c r="I47" s="11">
        <f t="shared" si="3"/>
        <v>30284940</v>
      </c>
      <c r="J47" s="53">
        <f t="shared" si="4"/>
        <v>4934055</v>
      </c>
      <c r="K47" s="53">
        <f t="shared" si="5"/>
        <v>25350885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736</v>
      </c>
      <c r="H48" s="36">
        <f t="shared" si="2"/>
        <v>1</v>
      </c>
      <c r="I48" s="11">
        <f t="shared" si="3"/>
        <v>1252954500</v>
      </c>
      <c r="J48" s="53">
        <f t="shared" si="4"/>
        <v>0</v>
      </c>
      <c r="K48" s="53">
        <f t="shared" si="5"/>
        <v>1252954500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727</v>
      </c>
      <c r="H49" s="36">
        <f t="shared" si="2"/>
        <v>0</v>
      </c>
      <c r="I49" s="11">
        <f t="shared" si="3"/>
        <v>-112685000</v>
      </c>
      <c r="J49" s="53">
        <f t="shared" si="4"/>
        <v>0</v>
      </c>
      <c r="K49" s="53">
        <f t="shared" si="5"/>
        <v>-112685000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727</v>
      </c>
      <c r="H50" s="36">
        <f t="shared" si="2"/>
        <v>0</v>
      </c>
      <c r="I50" s="11">
        <f t="shared" si="3"/>
        <v>-100326000</v>
      </c>
      <c r="J50" s="53">
        <f t="shared" si="4"/>
        <v>0</v>
      </c>
      <c r="K50" s="53">
        <f t="shared" si="5"/>
        <v>-100326000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727</v>
      </c>
      <c r="H51" s="36">
        <f t="shared" si="2"/>
        <v>0</v>
      </c>
      <c r="I51" s="11">
        <f t="shared" si="3"/>
        <v>-537980000</v>
      </c>
      <c r="J51" s="53">
        <f t="shared" si="4"/>
        <v>0</v>
      </c>
      <c r="K51" s="53">
        <f t="shared" si="5"/>
        <v>-537980000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727</v>
      </c>
      <c r="H52" s="36">
        <f t="shared" si="2"/>
        <v>0</v>
      </c>
      <c r="I52" s="11">
        <f t="shared" si="3"/>
        <v>-145400000</v>
      </c>
      <c r="J52" s="53">
        <f t="shared" si="4"/>
        <v>0</v>
      </c>
      <c r="K52" s="53">
        <f t="shared" si="5"/>
        <v>-145400000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726</v>
      </c>
      <c r="H53" s="36">
        <f t="shared" si="2"/>
        <v>0</v>
      </c>
      <c r="I53" s="11">
        <f t="shared" si="3"/>
        <v>-765930000</v>
      </c>
      <c r="J53" s="53">
        <f t="shared" si="4"/>
        <v>0</v>
      </c>
      <c r="K53" s="53">
        <f t="shared" si="5"/>
        <v>-765930000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726</v>
      </c>
      <c r="H54" s="36">
        <f t="shared" si="2"/>
        <v>0</v>
      </c>
      <c r="I54" s="11">
        <f t="shared" si="3"/>
        <v>-145200000</v>
      </c>
      <c r="J54" s="53">
        <f t="shared" si="4"/>
        <v>0</v>
      </c>
      <c r="K54" s="53">
        <f t="shared" si="5"/>
        <v>-145200000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726</v>
      </c>
      <c r="H55" s="36">
        <f t="shared" si="2"/>
        <v>0</v>
      </c>
      <c r="I55" s="11">
        <f t="shared" si="3"/>
        <v>-726363000</v>
      </c>
      <c r="J55" s="53">
        <f t="shared" si="4"/>
        <v>0</v>
      </c>
      <c r="K55" s="53">
        <f t="shared" si="5"/>
        <v>-726363000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726</v>
      </c>
      <c r="H56" s="36">
        <f t="shared" si="2"/>
        <v>0</v>
      </c>
      <c r="I56" s="11">
        <f t="shared" si="3"/>
        <v>-27588000</v>
      </c>
      <c r="J56" s="53">
        <f t="shared" si="4"/>
        <v>0</v>
      </c>
      <c r="K56" s="53">
        <f t="shared" si="5"/>
        <v>-27588000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726</v>
      </c>
      <c r="H57" s="36">
        <f t="shared" si="2"/>
        <v>0</v>
      </c>
      <c r="I57" s="11">
        <f t="shared" si="3"/>
        <v>-76230000</v>
      </c>
      <c r="J57" s="53">
        <f t="shared" si="4"/>
        <v>0</v>
      </c>
      <c r="K57" s="53">
        <f t="shared" si="5"/>
        <v>-76230000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726</v>
      </c>
      <c r="H58" s="36">
        <f t="shared" si="2"/>
        <v>0</v>
      </c>
      <c r="I58" s="11">
        <f t="shared" si="3"/>
        <v>-43560000</v>
      </c>
      <c r="J58" s="53">
        <f t="shared" si="4"/>
        <v>0</v>
      </c>
      <c r="K58" s="53">
        <f t="shared" si="5"/>
        <v>-43560000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723</v>
      </c>
      <c r="H59" s="36">
        <f t="shared" si="2"/>
        <v>1</v>
      </c>
      <c r="I59" s="11">
        <f t="shared" si="3"/>
        <v>722000000</v>
      </c>
      <c r="J59" s="53">
        <f t="shared" si="4"/>
        <v>722000000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722</v>
      </c>
      <c r="H60" s="36">
        <f t="shared" si="2"/>
        <v>1</v>
      </c>
      <c r="I60" s="11">
        <f t="shared" si="3"/>
        <v>2523500000</v>
      </c>
      <c r="J60" s="53">
        <f t="shared" si="4"/>
        <v>2523500000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720</v>
      </c>
      <c r="H61" s="36">
        <f t="shared" si="2"/>
        <v>1</v>
      </c>
      <c r="I61" s="11">
        <f t="shared" si="3"/>
        <v>719000000</v>
      </c>
      <c r="J61" s="53">
        <f t="shared" si="4"/>
        <v>719000000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720</v>
      </c>
      <c r="H62" s="36">
        <f t="shared" si="2"/>
        <v>1</v>
      </c>
      <c r="I62" s="11">
        <f t="shared" si="3"/>
        <v>2157000000</v>
      </c>
      <c r="J62" s="53">
        <f t="shared" si="4"/>
        <v>2157000000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718</v>
      </c>
      <c r="H63" s="36">
        <f t="shared" si="2"/>
        <v>0</v>
      </c>
      <c r="I63" s="11">
        <f t="shared" si="3"/>
        <v>-143600000</v>
      </c>
      <c r="J63" s="53">
        <f t="shared" si="4"/>
        <v>0</v>
      </c>
      <c r="K63" s="53">
        <f t="shared" si="5"/>
        <v>-143600000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713</v>
      </c>
      <c r="H64" s="36">
        <f t="shared" si="2"/>
        <v>0</v>
      </c>
      <c r="I64" s="11">
        <f t="shared" si="3"/>
        <v>-35650000</v>
      </c>
      <c r="J64" s="53">
        <f t="shared" si="4"/>
        <v>0</v>
      </c>
      <c r="K64" s="53">
        <f t="shared" si="5"/>
        <v>-35650000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709</v>
      </c>
      <c r="H65" s="36">
        <f t="shared" si="2"/>
        <v>0</v>
      </c>
      <c r="I65" s="11">
        <f t="shared" si="3"/>
        <v>-141800000</v>
      </c>
      <c r="J65" s="53">
        <f t="shared" si="4"/>
        <v>0</v>
      </c>
      <c r="K65" s="53">
        <f t="shared" si="5"/>
        <v>-141800000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706</v>
      </c>
      <c r="H66" s="36">
        <f t="shared" si="2"/>
        <v>0</v>
      </c>
      <c r="I66" s="11">
        <f t="shared" si="3"/>
        <v>-120020000</v>
      </c>
      <c r="J66" s="53">
        <f t="shared" si="4"/>
        <v>0</v>
      </c>
      <c r="K66" s="53">
        <f t="shared" si="5"/>
        <v>-120020000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705</v>
      </c>
      <c r="H67" s="36">
        <f t="shared" ref="H67:H131" si="8">IF(B67&gt;0,1,0)</f>
        <v>1</v>
      </c>
      <c r="I67" s="11">
        <f t="shared" ref="I67:I119" si="9">B67*(G67-H67)</f>
        <v>64292800</v>
      </c>
      <c r="J67" s="53">
        <f t="shared" ref="J67:J131" si="10">C67*(G67-H67)</f>
        <v>46268992</v>
      </c>
      <c r="K67" s="53">
        <f t="shared" ref="K67:K131" si="11">D67*(G67-H67)</f>
        <v>18023808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687</v>
      </c>
      <c r="H68" s="36">
        <f t="shared" si="8"/>
        <v>0</v>
      </c>
      <c r="I68" s="11">
        <f t="shared" si="9"/>
        <v>-99615000</v>
      </c>
      <c r="J68" s="53">
        <f t="shared" si="10"/>
        <v>0</v>
      </c>
      <c r="K68" s="53">
        <f t="shared" si="11"/>
        <v>-99615000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680</v>
      </c>
      <c r="H69" s="36">
        <f t="shared" si="8"/>
        <v>1</v>
      </c>
      <c r="I69" s="11">
        <f t="shared" si="9"/>
        <v>665420000</v>
      </c>
      <c r="J69" s="53">
        <f t="shared" si="10"/>
        <v>0</v>
      </c>
      <c r="K69" s="53">
        <f t="shared" si="11"/>
        <v>665420000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677</v>
      </c>
      <c r="H70" s="36">
        <f t="shared" si="8"/>
        <v>0</v>
      </c>
      <c r="I70" s="11">
        <f t="shared" si="9"/>
        <v>-31142000</v>
      </c>
      <c r="J70" s="53">
        <f t="shared" si="10"/>
        <v>0</v>
      </c>
      <c r="K70" s="53">
        <f t="shared" si="11"/>
        <v>-31142000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675</v>
      </c>
      <c r="H71" s="36">
        <f t="shared" si="8"/>
        <v>1</v>
      </c>
      <c r="I71" s="11">
        <f t="shared" si="9"/>
        <v>77737812</v>
      </c>
      <c r="J71" s="53">
        <f t="shared" si="10"/>
        <v>69969288</v>
      </c>
      <c r="K71" s="53">
        <f t="shared" si="11"/>
        <v>7768524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674</v>
      </c>
      <c r="H72" s="36">
        <f t="shared" si="8"/>
        <v>0</v>
      </c>
      <c r="I72" s="11">
        <f t="shared" si="9"/>
        <v>-102427106</v>
      </c>
      <c r="J72" s="53">
        <f t="shared" si="10"/>
        <v>0</v>
      </c>
      <c r="K72" s="53">
        <f t="shared" si="11"/>
        <v>-102427106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673</v>
      </c>
      <c r="H73" s="36">
        <f t="shared" si="8"/>
        <v>0</v>
      </c>
      <c r="I73" s="11">
        <f t="shared" si="9"/>
        <v>-542101500</v>
      </c>
      <c r="J73" s="53">
        <f t="shared" si="10"/>
        <v>0</v>
      </c>
      <c r="K73" s="53">
        <f t="shared" si="11"/>
        <v>-542101500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666</v>
      </c>
      <c r="H74" s="36">
        <f t="shared" si="8"/>
        <v>1</v>
      </c>
      <c r="I74" s="11">
        <f t="shared" si="9"/>
        <v>4651675000</v>
      </c>
      <c r="J74" s="53">
        <f t="shared" si="10"/>
        <v>0</v>
      </c>
      <c r="K74" s="53">
        <f t="shared" si="11"/>
        <v>4651675000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665</v>
      </c>
      <c r="H75" s="36">
        <f t="shared" si="8"/>
        <v>1</v>
      </c>
      <c r="I75" s="11">
        <f t="shared" si="9"/>
        <v>1992000000</v>
      </c>
      <c r="J75" s="53">
        <f t="shared" si="10"/>
        <v>0</v>
      </c>
      <c r="K75" s="53">
        <f t="shared" si="11"/>
        <v>1992000000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663</v>
      </c>
      <c r="H76" s="36">
        <f t="shared" si="8"/>
        <v>1</v>
      </c>
      <c r="I76" s="11">
        <f t="shared" si="9"/>
        <v>1986000000</v>
      </c>
      <c r="J76" s="53">
        <f t="shared" si="10"/>
        <v>0</v>
      </c>
      <c r="K76" s="53">
        <f t="shared" si="11"/>
        <v>1986000000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662</v>
      </c>
      <c r="H77" s="36">
        <f t="shared" si="8"/>
        <v>1</v>
      </c>
      <c r="I77" s="11">
        <f t="shared" si="9"/>
        <v>1983000000</v>
      </c>
      <c r="J77" s="53">
        <f t="shared" si="10"/>
        <v>0</v>
      </c>
      <c r="K77" s="53">
        <f t="shared" si="11"/>
        <v>1983000000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661</v>
      </c>
      <c r="H78" s="36">
        <f t="shared" si="8"/>
        <v>0</v>
      </c>
      <c r="I78" s="11">
        <f t="shared" si="9"/>
        <v>-2115200000</v>
      </c>
      <c r="J78" s="53">
        <f t="shared" si="10"/>
        <v>-2115200000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660</v>
      </c>
      <c r="H79" s="36">
        <f t="shared" si="8"/>
        <v>0</v>
      </c>
      <c r="I79" s="11">
        <f t="shared" si="9"/>
        <v>-528000000</v>
      </c>
      <c r="J79" s="53">
        <f t="shared" si="10"/>
        <v>-528000000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659</v>
      </c>
      <c r="H80" s="36">
        <f t="shared" si="8"/>
        <v>0</v>
      </c>
      <c r="I80" s="11">
        <f t="shared" si="9"/>
        <v>-31890987</v>
      </c>
      <c r="J80" s="53">
        <f t="shared" si="10"/>
        <v>0</v>
      </c>
      <c r="K80" s="53">
        <f t="shared" si="11"/>
        <v>-31890987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658</v>
      </c>
      <c r="H81" s="36">
        <f t="shared" si="8"/>
        <v>0</v>
      </c>
      <c r="I81" s="11">
        <f t="shared" si="9"/>
        <v>-92120000</v>
      </c>
      <c r="J81" s="53">
        <f t="shared" si="10"/>
        <v>0</v>
      </c>
      <c r="K81" s="53">
        <f t="shared" si="11"/>
        <v>-92120000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657</v>
      </c>
      <c r="H82" s="36">
        <f t="shared" si="8"/>
        <v>0</v>
      </c>
      <c r="I82" s="11">
        <f t="shared" si="9"/>
        <v>-164250000</v>
      </c>
      <c r="J82" s="53">
        <f t="shared" si="10"/>
        <v>0</v>
      </c>
      <c r="K82" s="53">
        <f t="shared" si="11"/>
        <v>-164250000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656</v>
      </c>
      <c r="H83" s="36">
        <f t="shared" si="8"/>
        <v>0</v>
      </c>
      <c r="I83" s="11">
        <f t="shared" si="9"/>
        <v>-131200000</v>
      </c>
      <c r="J83" s="53">
        <f t="shared" si="10"/>
        <v>0</v>
      </c>
      <c r="K83" s="53">
        <f t="shared" si="11"/>
        <v>-131200000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653</v>
      </c>
      <c r="H84" s="36">
        <f t="shared" si="8"/>
        <v>1</v>
      </c>
      <c r="I84" s="11">
        <f t="shared" si="9"/>
        <v>1066150400</v>
      </c>
      <c r="J84" s="53">
        <f t="shared" si="10"/>
        <v>0</v>
      </c>
      <c r="K84" s="53">
        <f t="shared" si="11"/>
        <v>1066150400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649</v>
      </c>
      <c r="H85" s="36">
        <f t="shared" si="8"/>
        <v>1</v>
      </c>
      <c r="I85" s="11">
        <f t="shared" si="9"/>
        <v>1620000000</v>
      </c>
      <c r="J85" s="53">
        <f t="shared" si="10"/>
        <v>0</v>
      </c>
      <c r="K85" s="53">
        <f t="shared" si="11"/>
        <v>1620000000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645</v>
      </c>
      <c r="H86" s="36">
        <f t="shared" si="8"/>
        <v>1</v>
      </c>
      <c r="I86" s="11">
        <f t="shared" si="9"/>
        <v>119977200</v>
      </c>
      <c r="J86" s="53">
        <f t="shared" si="10"/>
        <v>54707800</v>
      </c>
      <c r="K86" s="53">
        <f t="shared" si="11"/>
        <v>65269400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642</v>
      </c>
      <c r="H87" s="36">
        <f t="shared" si="8"/>
        <v>0</v>
      </c>
      <c r="I87" s="11">
        <f t="shared" si="9"/>
        <v>-128400000</v>
      </c>
      <c r="J87" s="53">
        <f t="shared" si="10"/>
        <v>0</v>
      </c>
      <c r="K87" s="53">
        <f t="shared" si="11"/>
        <v>-128400000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641</v>
      </c>
      <c r="H88" s="36">
        <f t="shared" si="8"/>
        <v>0</v>
      </c>
      <c r="I88" s="11">
        <f t="shared" si="9"/>
        <v>-75638000</v>
      </c>
      <c r="J88" s="53">
        <f t="shared" si="10"/>
        <v>-44229000</v>
      </c>
      <c r="K88" s="53">
        <f t="shared" si="11"/>
        <v>-31409000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633</v>
      </c>
      <c r="H89" s="36">
        <f t="shared" si="8"/>
        <v>0</v>
      </c>
      <c r="I89" s="11">
        <f t="shared" si="9"/>
        <v>-2026169700</v>
      </c>
      <c r="J89" s="53">
        <f t="shared" si="10"/>
        <v>0</v>
      </c>
      <c r="K89" s="53">
        <f t="shared" si="11"/>
        <v>-2026169700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632</v>
      </c>
      <c r="H90" s="36">
        <f t="shared" si="8"/>
        <v>0</v>
      </c>
      <c r="I90" s="11">
        <f t="shared" si="9"/>
        <v>-2022968800</v>
      </c>
      <c r="J90" s="53">
        <f t="shared" si="10"/>
        <v>0</v>
      </c>
      <c r="K90" s="53">
        <f t="shared" si="11"/>
        <v>-2022968800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631</v>
      </c>
      <c r="H91" s="36">
        <f t="shared" si="8"/>
        <v>0</v>
      </c>
      <c r="I91" s="11">
        <f t="shared" si="9"/>
        <v>-2019767900</v>
      </c>
      <c r="J91" s="53">
        <f t="shared" si="10"/>
        <v>0</v>
      </c>
      <c r="K91" s="53">
        <f t="shared" si="11"/>
        <v>-2019767900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630</v>
      </c>
      <c r="H92" s="36">
        <f t="shared" si="8"/>
        <v>0</v>
      </c>
      <c r="I92" s="11">
        <f t="shared" si="9"/>
        <v>-2016567000</v>
      </c>
      <c r="J92" s="53">
        <f t="shared" si="10"/>
        <v>0</v>
      </c>
      <c r="K92" s="53">
        <f t="shared" si="11"/>
        <v>-2016567000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629</v>
      </c>
      <c r="H93" s="36">
        <f t="shared" si="8"/>
        <v>0</v>
      </c>
      <c r="I93" s="11">
        <f t="shared" si="9"/>
        <v>-2013366100</v>
      </c>
      <c r="J93" s="53">
        <f t="shared" si="10"/>
        <v>0</v>
      </c>
      <c r="K93" s="53">
        <f t="shared" si="11"/>
        <v>-2013366100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628</v>
      </c>
      <c r="H94" s="36">
        <f t="shared" si="8"/>
        <v>0</v>
      </c>
      <c r="I94" s="11">
        <f t="shared" si="9"/>
        <v>-2010165200</v>
      </c>
      <c r="J94" s="53">
        <f t="shared" si="10"/>
        <v>0</v>
      </c>
      <c r="K94" s="53">
        <f t="shared" si="11"/>
        <v>-2010165200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626</v>
      </c>
      <c r="H95" s="36">
        <f t="shared" si="8"/>
        <v>0</v>
      </c>
      <c r="I95" s="11">
        <f t="shared" si="9"/>
        <v>-749069096</v>
      </c>
      <c r="J95" s="53">
        <f t="shared" si="10"/>
        <v>0</v>
      </c>
      <c r="K95" s="53">
        <f t="shared" si="11"/>
        <v>-749069096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616</v>
      </c>
      <c r="H96" s="36">
        <f t="shared" si="8"/>
        <v>0</v>
      </c>
      <c r="I96" s="11">
        <f t="shared" si="9"/>
        <v>-123200000</v>
      </c>
      <c r="J96" s="53">
        <f t="shared" si="10"/>
        <v>0</v>
      </c>
      <c r="K96" s="53">
        <f t="shared" si="11"/>
        <v>-123200000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615</v>
      </c>
      <c r="H97" s="36">
        <f t="shared" si="8"/>
        <v>1</v>
      </c>
      <c r="I97" s="11">
        <f t="shared" si="9"/>
        <v>97968612</v>
      </c>
      <c r="J97" s="53">
        <f t="shared" si="10"/>
        <v>42320564</v>
      </c>
      <c r="K97" s="53">
        <f t="shared" si="11"/>
        <v>55648048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610</v>
      </c>
      <c r="H98" s="36">
        <f t="shared" si="8"/>
        <v>1</v>
      </c>
      <c r="I98" s="11">
        <f t="shared" si="9"/>
        <v>69650112</v>
      </c>
      <c r="J98" s="53">
        <f t="shared" si="10"/>
        <v>0</v>
      </c>
      <c r="K98" s="53">
        <f t="shared" si="11"/>
        <v>69650112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607</v>
      </c>
      <c r="H99" s="36">
        <f t="shared" si="8"/>
        <v>0</v>
      </c>
      <c r="I99" s="11">
        <f t="shared" si="9"/>
        <v>-804275000</v>
      </c>
      <c r="J99" s="53">
        <f t="shared" si="10"/>
        <v>0</v>
      </c>
      <c r="K99" s="53">
        <f t="shared" si="11"/>
        <v>-804275000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602</v>
      </c>
      <c r="H100" s="36">
        <f t="shared" si="8"/>
        <v>1</v>
      </c>
      <c r="I100" s="11">
        <f t="shared" si="9"/>
        <v>796325000</v>
      </c>
      <c r="J100" s="53">
        <f t="shared" si="10"/>
        <v>0</v>
      </c>
      <c r="K100" s="53">
        <f t="shared" si="11"/>
        <v>796325000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585</v>
      </c>
      <c r="H101" s="36">
        <f t="shared" si="8"/>
        <v>1</v>
      </c>
      <c r="I101" s="11">
        <f t="shared" si="9"/>
        <v>39037480</v>
      </c>
      <c r="J101" s="53">
        <f t="shared" si="10"/>
        <v>39037480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582</v>
      </c>
      <c r="H102" s="36">
        <f t="shared" si="8"/>
        <v>1</v>
      </c>
      <c r="I102" s="11">
        <f t="shared" si="9"/>
        <v>1743000000</v>
      </c>
      <c r="J102" s="53">
        <f t="shared" si="10"/>
        <v>0</v>
      </c>
      <c r="K102" s="53">
        <f t="shared" si="11"/>
        <v>1743000000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575</v>
      </c>
      <c r="H103" s="36">
        <f t="shared" si="8"/>
        <v>0</v>
      </c>
      <c r="I103" s="11">
        <f t="shared" si="9"/>
        <v>-575000000</v>
      </c>
      <c r="J103" s="53">
        <f t="shared" si="10"/>
        <v>-575000000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565</v>
      </c>
      <c r="H104" s="36">
        <f t="shared" si="8"/>
        <v>1</v>
      </c>
      <c r="I104" s="11">
        <f t="shared" si="9"/>
        <v>1692000000</v>
      </c>
      <c r="J104" s="53">
        <f t="shared" si="10"/>
        <v>1692000000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564</v>
      </c>
      <c r="H105" s="36">
        <f t="shared" si="8"/>
        <v>1</v>
      </c>
      <c r="I105" s="11">
        <f t="shared" si="9"/>
        <v>630560000</v>
      </c>
      <c r="J105" s="53">
        <f t="shared" si="10"/>
        <v>630560000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564</v>
      </c>
      <c r="H106" s="36">
        <f t="shared" si="8"/>
        <v>0</v>
      </c>
      <c r="I106" s="11">
        <f t="shared" si="9"/>
        <v>-1692000000</v>
      </c>
      <c r="J106" s="53">
        <f t="shared" si="10"/>
        <v>0</v>
      </c>
      <c r="K106" s="53">
        <f t="shared" si="11"/>
        <v>-1692000000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555</v>
      </c>
      <c r="H107" s="36">
        <f t="shared" si="8"/>
        <v>1</v>
      </c>
      <c r="I107" s="11">
        <f t="shared" si="9"/>
        <v>50133676</v>
      </c>
      <c r="J107" s="53">
        <f t="shared" si="10"/>
        <v>41613710</v>
      </c>
      <c r="K107" s="53">
        <f t="shared" si="11"/>
        <v>8519966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553</v>
      </c>
      <c r="H108" s="36">
        <f t="shared" si="8"/>
        <v>0</v>
      </c>
      <c r="I108" s="11">
        <f t="shared" si="9"/>
        <v>-940487100</v>
      </c>
      <c r="J108" s="53">
        <f t="shared" si="10"/>
        <v>0</v>
      </c>
      <c r="K108" s="53">
        <f t="shared" si="11"/>
        <v>-940487100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549</v>
      </c>
      <c r="H109" s="36">
        <f t="shared" si="8"/>
        <v>0</v>
      </c>
      <c r="I109" s="11">
        <f t="shared" si="9"/>
        <v>-549274500</v>
      </c>
      <c r="J109" s="53">
        <f t="shared" si="10"/>
        <v>0</v>
      </c>
      <c r="K109" s="53">
        <f t="shared" si="11"/>
        <v>-549274500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546</v>
      </c>
      <c r="H110" s="36">
        <f t="shared" si="8"/>
        <v>1</v>
      </c>
      <c r="I110" s="11">
        <f t="shared" si="9"/>
        <v>10900000000</v>
      </c>
      <c r="J110" s="53">
        <f t="shared" si="10"/>
        <v>0</v>
      </c>
      <c r="K110" s="53">
        <f t="shared" si="11"/>
        <v>10900000000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526</v>
      </c>
      <c r="H111" s="36">
        <f t="shared" si="8"/>
        <v>1</v>
      </c>
      <c r="I111" s="11">
        <f t="shared" si="9"/>
        <v>91705950</v>
      </c>
      <c r="J111" s="53">
        <f t="shared" si="10"/>
        <v>45865575</v>
      </c>
      <c r="K111" s="53">
        <f t="shared" si="11"/>
        <v>45840375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510</v>
      </c>
      <c r="H112" s="36">
        <f t="shared" si="8"/>
        <v>0</v>
      </c>
      <c r="I112" s="11">
        <f t="shared" si="9"/>
        <v>-14484000000</v>
      </c>
      <c r="J112" s="53">
        <f t="shared" si="10"/>
        <v>0</v>
      </c>
      <c r="K112" s="53">
        <f t="shared" si="11"/>
        <v>-14484000000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495</v>
      </c>
      <c r="H113" s="36">
        <f t="shared" si="8"/>
        <v>1</v>
      </c>
      <c r="I113" s="11">
        <f t="shared" si="9"/>
        <v>80541760</v>
      </c>
      <c r="J113" s="53">
        <f t="shared" si="10"/>
        <v>60520434</v>
      </c>
      <c r="K113" s="53">
        <f t="shared" si="11"/>
        <v>20021326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495</v>
      </c>
      <c r="H114" s="36">
        <f t="shared" si="8"/>
        <v>0</v>
      </c>
      <c r="I114" s="11">
        <f t="shared" si="9"/>
        <v>-2821500</v>
      </c>
      <c r="J114" s="53">
        <f t="shared" si="10"/>
        <v>-1237500</v>
      </c>
      <c r="K114" s="53">
        <f t="shared" si="11"/>
        <v>-1584000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482</v>
      </c>
      <c r="H115" s="36">
        <f t="shared" si="8"/>
        <v>0</v>
      </c>
      <c r="I115" s="11">
        <f t="shared" si="9"/>
        <v>0</v>
      </c>
      <c r="J115" s="53">
        <f t="shared" si="10"/>
        <v>241000000</v>
      </c>
      <c r="K115" s="53">
        <f t="shared" si="11"/>
        <v>-241000000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474</v>
      </c>
      <c r="H116" s="36">
        <f t="shared" si="8"/>
        <v>0</v>
      </c>
      <c r="I116" s="11">
        <f t="shared" si="9"/>
        <v>-75840000</v>
      </c>
      <c r="J116" s="53">
        <f t="shared" si="10"/>
        <v>0</v>
      </c>
      <c r="K116" s="53">
        <f t="shared" si="11"/>
        <v>-75840000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465</v>
      </c>
      <c r="H117" s="36">
        <f t="shared" si="8"/>
        <v>1</v>
      </c>
      <c r="I117" s="11">
        <f t="shared" si="9"/>
        <v>686720</v>
      </c>
      <c r="J117" s="53">
        <f t="shared" si="10"/>
        <v>49620624</v>
      </c>
      <c r="K117" s="53">
        <f t="shared" si="11"/>
        <v>-48933904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443</v>
      </c>
      <c r="H118" s="36">
        <f t="shared" si="8"/>
        <v>1</v>
      </c>
      <c r="I118" s="11">
        <f t="shared" si="9"/>
        <v>17414579000</v>
      </c>
      <c r="J118" s="53">
        <f t="shared" si="10"/>
        <v>0</v>
      </c>
      <c r="K118" s="53">
        <f t="shared" si="11"/>
        <v>17414579000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434</v>
      </c>
      <c r="H119" s="36">
        <f t="shared" si="8"/>
        <v>1</v>
      </c>
      <c r="I119" s="11">
        <f t="shared" si="9"/>
        <v>41360593</v>
      </c>
      <c r="J119" s="53">
        <f t="shared" si="10"/>
        <v>47653382</v>
      </c>
      <c r="K119" s="53">
        <f t="shared" si="11"/>
        <v>-6292789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430</v>
      </c>
      <c r="H120" s="11">
        <f t="shared" si="8"/>
        <v>1</v>
      </c>
      <c r="I120" s="11">
        <f t="shared" ref="I120:I206" si="13">B120*(G120-H120)</f>
        <v>858000000</v>
      </c>
      <c r="J120" s="11">
        <f t="shared" si="10"/>
        <v>0</v>
      </c>
      <c r="K120" s="11">
        <f t="shared" si="11"/>
        <v>858000000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404</v>
      </c>
      <c r="H121" s="11">
        <f t="shared" si="8"/>
        <v>1</v>
      </c>
      <c r="I121" s="11">
        <f t="shared" si="13"/>
        <v>1047800000</v>
      </c>
      <c r="J121" s="11">
        <f t="shared" si="10"/>
        <v>0</v>
      </c>
      <c r="K121" s="11">
        <f t="shared" si="11"/>
        <v>1047800000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403</v>
      </c>
      <c r="H122" s="11">
        <f t="shared" si="8"/>
        <v>1</v>
      </c>
      <c r="I122" s="11">
        <f t="shared" si="13"/>
        <v>154589502</v>
      </c>
      <c r="J122" s="11">
        <f t="shared" si="10"/>
        <v>44585016</v>
      </c>
      <c r="K122" s="11">
        <f t="shared" si="11"/>
        <v>110004486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402</v>
      </c>
      <c r="H123" s="11">
        <f t="shared" si="8"/>
        <v>0</v>
      </c>
      <c r="I123" s="11">
        <f t="shared" si="13"/>
        <v>0</v>
      </c>
      <c r="J123" s="11">
        <f t="shared" si="10"/>
        <v>321600000</v>
      </c>
      <c r="K123" s="11">
        <f t="shared" si="11"/>
        <v>-321600000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388</v>
      </c>
      <c r="H124" s="11">
        <f t="shared" si="8"/>
        <v>0</v>
      </c>
      <c r="I124" s="11">
        <f t="shared" si="13"/>
        <v>-1164000000</v>
      </c>
      <c r="J124" s="11">
        <f t="shared" si="10"/>
        <v>0</v>
      </c>
      <c r="K124" s="11">
        <f t="shared" si="11"/>
        <v>-1164000000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373</v>
      </c>
      <c r="H125" s="11">
        <f t="shared" si="8"/>
        <v>1</v>
      </c>
      <c r="I125" s="11">
        <f t="shared" si="13"/>
        <v>149064120</v>
      </c>
      <c r="J125" s="11">
        <f t="shared" si="10"/>
        <v>44221500</v>
      </c>
      <c r="K125" s="11">
        <f t="shared" si="11"/>
        <v>104842620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373</v>
      </c>
      <c r="H126" s="11">
        <f t="shared" si="8"/>
        <v>1</v>
      </c>
      <c r="I126" s="11">
        <f t="shared" si="13"/>
        <v>15624000000</v>
      </c>
      <c r="J126" s="11">
        <f t="shared" si="10"/>
        <v>0</v>
      </c>
      <c r="K126" s="11">
        <f t="shared" si="11"/>
        <v>15624000000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348</v>
      </c>
      <c r="H127" s="11">
        <f t="shared" si="8"/>
        <v>0</v>
      </c>
      <c r="I127" s="11">
        <f t="shared" si="13"/>
        <v>-1740000</v>
      </c>
      <c r="J127" s="11">
        <f t="shared" si="10"/>
        <v>0</v>
      </c>
      <c r="K127" s="11">
        <f t="shared" si="11"/>
        <v>-1740000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342</v>
      </c>
      <c r="H128" s="11">
        <f t="shared" si="8"/>
        <v>1</v>
      </c>
      <c r="I128" s="11">
        <f t="shared" si="13"/>
        <v>263038534</v>
      </c>
      <c r="J128" s="11">
        <f t="shared" si="10"/>
        <v>41157677</v>
      </c>
      <c r="K128" s="11">
        <f t="shared" si="11"/>
        <v>221880857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339</v>
      </c>
      <c r="H129" s="11">
        <f t="shared" si="8"/>
        <v>1</v>
      </c>
      <c r="I129" s="11">
        <f t="shared" si="13"/>
        <v>845000000</v>
      </c>
      <c r="J129" s="11">
        <f t="shared" si="10"/>
        <v>0</v>
      </c>
      <c r="K129" s="11">
        <f t="shared" si="11"/>
        <v>845000000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325</v>
      </c>
      <c r="H130" s="11">
        <f t="shared" si="8"/>
        <v>0</v>
      </c>
      <c r="I130" s="11">
        <f t="shared" si="13"/>
        <v>-325000000</v>
      </c>
      <c r="J130" s="11">
        <f t="shared" si="10"/>
        <v>-325000000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320</v>
      </c>
      <c r="H131" s="11">
        <f t="shared" si="8"/>
        <v>0</v>
      </c>
      <c r="I131" s="11">
        <f t="shared" si="13"/>
        <v>-16000000000</v>
      </c>
      <c r="J131" s="11">
        <f t="shared" si="10"/>
        <v>0</v>
      </c>
      <c r="K131" s="11">
        <f t="shared" si="11"/>
        <v>-16000000000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312</v>
      </c>
      <c r="H132" s="11">
        <f t="shared" ref="H132:H206" si="15">IF(B132&gt;0,1,0)</f>
        <v>1</v>
      </c>
      <c r="I132" s="11">
        <f t="shared" si="13"/>
        <v>191043257</v>
      </c>
      <c r="J132" s="11">
        <f t="shared" ref="J132:J206" si="16">C132*(G132-H132)</f>
        <v>32956981</v>
      </c>
      <c r="K132" s="11">
        <f t="shared" ref="K132:K206" si="17">D132*(G132-H132)</f>
        <v>158086276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308</v>
      </c>
      <c r="H133" s="11">
        <f t="shared" si="15"/>
        <v>0</v>
      </c>
      <c r="I133" s="11">
        <f t="shared" si="13"/>
        <v>-372895600</v>
      </c>
      <c r="J133" s="11">
        <f t="shared" si="16"/>
        <v>0</v>
      </c>
      <c r="K133" s="11">
        <f t="shared" si="17"/>
        <v>-372895600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299</v>
      </c>
      <c r="H134" s="11">
        <f t="shared" si="15"/>
        <v>0</v>
      </c>
      <c r="I134" s="11">
        <f t="shared" si="13"/>
        <v>-19435000</v>
      </c>
      <c r="J134" s="11">
        <f t="shared" si="16"/>
        <v>0</v>
      </c>
      <c r="K134" s="11">
        <f t="shared" si="17"/>
        <v>-19435000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299</v>
      </c>
      <c r="H135" s="11">
        <f t="shared" si="15"/>
        <v>0</v>
      </c>
      <c r="I135" s="11">
        <f t="shared" si="13"/>
        <v>-9657700</v>
      </c>
      <c r="J135" s="11">
        <f t="shared" si="16"/>
        <v>0</v>
      </c>
      <c r="K135" s="11">
        <f t="shared" si="17"/>
        <v>-9657700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291</v>
      </c>
      <c r="H136" s="11">
        <f t="shared" si="15"/>
        <v>0</v>
      </c>
      <c r="I136" s="11">
        <f t="shared" si="13"/>
        <v>-291000000</v>
      </c>
      <c r="J136" s="11">
        <f t="shared" si="16"/>
        <v>-291000000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282</v>
      </c>
      <c r="H137" s="11">
        <f t="shared" si="15"/>
        <v>1</v>
      </c>
      <c r="I137" s="11">
        <f t="shared" si="13"/>
        <v>81735313</v>
      </c>
      <c r="J137" s="11">
        <f t="shared" si="16"/>
        <v>27357879</v>
      </c>
      <c r="K137" s="11">
        <f t="shared" si="17"/>
        <v>54377434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265</v>
      </c>
      <c r="H138" s="11">
        <f t="shared" si="15"/>
        <v>0</v>
      </c>
      <c r="I138" s="11">
        <f t="shared" si="13"/>
        <v>-265132500</v>
      </c>
      <c r="J138" s="11">
        <f t="shared" si="16"/>
        <v>-265132500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253</v>
      </c>
      <c r="H139" s="11">
        <f t="shared" si="15"/>
        <v>1</v>
      </c>
      <c r="I139" s="11">
        <f t="shared" si="13"/>
        <v>71124480</v>
      </c>
      <c r="J139" s="11">
        <f t="shared" si="16"/>
        <v>22379364</v>
      </c>
      <c r="K139" s="11">
        <f t="shared" si="17"/>
        <v>48745116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250</v>
      </c>
      <c r="H140" s="11">
        <f t="shared" si="15"/>
        <v>1</v>
      </c>
      <c r="I140" s="11">
        <f t="shared" si="13"/>
        <v>373500000</v>
      </c>
      <c r="J140" s="11">
        <f t="shared" si="16"/>
        <v>0</v>
      </c>
      <c r="K140" s="11">
        <f t="shared" si="17"/>
        <v>373500000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237</v>
      </c>
      <c r="H141" s="11">
        <f t="shared" si="15"/>
        <v>0</v>
      </c>
      <c r="I141" s="11">
        <f t="shared" si="13"/>
        <v>0</v>
      </c>
      <c r="J141" s="11">
        <f t="shared" si="16"/>
        <v>-237000000</v>
      </c>
      <c r="K141" s="11">
        <f t="shared" si="17"/>
        <v>237000000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223</v>
      </c>
      <c r="H142" s="11">
        <f t="shared" si="15"/>
        <v>1</v>
      </c>
      <c r="I142" s="11">
        <f t="shared" si="13"/>
        <v>64578246</v>
      </c>
      <c r="J142" s="11">
        <f t="shared" si="16"/>
        <v>17986884</v>
      </c>
      <c r="K142" s="11">
        <f t="shared" si="17"/>
        <v>46591362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203</v>
      </c>
      <c r="H143" s="11">
        <f t="shared" si="15"/>
        <v>0</v>
      </c>
      <c r="I143" s="11">
        <f t="shared" si="13"/>
        <v>0</v>
      </c>
      <c r="J143" s="11">
        <f t="shared" si="16"/>
        <v>-203000000</v>
      </c>
      <c r="K143" s="11">
        <f t="shared" si="17"/>
        <v>203000000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193</v>
      </c>
      <c r="H144" s="11">
        <f t="shared" si="15"/>
        <v>1</v>
      </c>
      <c r="I144" s="11">
        <f t="shared" si="13"/>
        <v>56611584</v>
      </c>
      <c r="J144" s="11">
        <f t="shared" si="16"/>
        <v>14334144</v>
      </c>
      <c r="K144" s="11">
        <f t="shared" si="17"/>
        <v>42277440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178</v>
      </c>
      <c r="H145" s="11">
        <f t="shared" si="15"/>
        <v>0</v>
      </c>
      <c r="I145" s="11">
        <f t="shared" si="13"/>
        <v>-1780000</v>
      </c>
      <c r="J145" s="11">
        <f t="shared" si="16"/>
        <v>-890000</v>
      </c>
      <c r="K145" s="11">
        <f t="shared" si="17"/>
        <v>-890000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173</v>
      </c>
      <c r="H146" s="11">
        <f t="shared" si="15"/>
        <v>0</v>
      </c>
      <c r="I146" s="11">
        <f t="shared" si="13"/>
        <v>-173086500</v>
      </c>
      <c r="J146" s="11">
        <f t="shared" si="16"/>
        <v>-173086500</v>
      </c>
      <c r="K146" s="11">
        <f t="shared" si="17"/>
        <v>0</v>
      </c>
    </row>
    <row r="147" spans="1:11" x14ac:dyDescent="0.25">
      <c r="A147" s="11" t="s">
        <v>937</v>
      </c>
      <c r="B147" s="18">
        <v>-27000000</v>
      </c>
      <c r="C147" s="18">
        <v>0</v>
      </c>
      <c r="D147" s="18">
        <f t="shared" si="12"/>
        <v>-27000000</v>
      </c>
      <c r="E147" s="11" t="s">
        <v>1012</v>
      </c>
      <c r="F147" s="11">
        <v>3</v>
      </c>
      <c r="G147" s="36">
        <f t="shared" si="14"/>
        <v>167</v>
      </c>
      <c r="H147" s="11">
        <f t="shared" si="15"/>
        <v>0</v>
      </c>
      <c r="I147" s="11">
        <f t="shared" si="13"/>
        <v>-4509000000</v>
      </c>
      <c r="J147" s="11">
        <f t="shared" si="16"/>
        <v>0</v>
      </c>
      <c r="K147" s="11">
        <f t="shared" si="17"/>
        <v>-4509000000</v>
      </c>
    </row>
    <row r="148" spans="1:11" x14ac:dyDescent="0.25">
      <c r="A148" s="11" t="s">
        <v>1037</v>
      </c>
      <c r="B148" s="18">
        <v>252436</v>
      </c>
      <c r="C148" s="18">
        <v>65510</v>
      </c>
      <c r="D148" s="18">
        <f t="shared" si="12"/>
        <v>186926</v>
      </c>
      <c r="E148" s="11" t="s">
        <v>1039</v>
      </c>
      <c r="F148" s="11">
        <v>8</v>
      </c>
      <c r="G148" s="36">
        <f t="shared" si="14"/>
        <v>164</v>
      </c>
      <c r="H148" s="11">
        <f t="shared" si="15"/>
        <v>1</v>
      </c>
      <c r="I148" s="11">
        <f t="shared" si="13"/>
        <v>41147068</v>
      </c>
      <c r="J148" s="11">
        <f t="shared" si="16"/>
        <v>10678130</v>
      </c>
      <c r="K148" s="11">
        <f t="shared" si="17"/>
        <v>30468938</v>
      </c>
    </row>
    <row r="149" spans="1:11" x14ac:dyDescent="0.25">
      <c r="A149" s="11" t="s">
        <v>1076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1077</v>
      </c>
      <c r="F149" s="11">
        <v>7</v>
      </c>
      <c r="G149" s="36">
        <f t="shared" si="14"/>
        <v>156</v>
      </c>
      <c r="H149" s="11">
        <f t="shared" si="15"/>
        <v>1</v>
      </c>
      <c r="I149" s="11">
        <f t="shared" si="13"/>
        <v>8122000000</v>
      </c>
      <c r="J149" s="11">
        <f t="shared" si="16"/>
        <v>0</v>
      </c>
      <c r="K149" s="11">
        <f t="shared" si="17"/>
        <v>8122000000</v>
      </c>
    </row>
    <row r="150" spans="1:11" x14ac:dyDescent="0.25">
      <c r="A150" s="11" t="s">
        <v>1083</v>
      </c>
      <c r="B150" s="18">
        <v>-52000000</v>
      </c>
      <c r="C150" s="18">
        <v>0</v>
      </c>
      <c r="D150" s="18">
        <f t="shared" si="18"/>
        <v>-52000000</v>
      </c>
      <c r="E150" s="11" t="s">
        <v>1086</v>
      </c>
      <c r="F150" s="11">
        <v>5</v>
      </c>
      <c r="G150" s="36">
        <f t="shared" si="14"/>
        <v>149</v>
      </c>
      <c r="H150" s="11">
        <f t="shared" si="15"/>
        <v>0</v>
      </c>
      <c r="I150" s="11">
        <f t="shared" si="13"/>
        <v>-7748000000</v>
      </c>
      <c r="J150" s="11">
        <f t="shared" si="16"/>
        <v>0</v>
      </c>
      <c r="K150" s="11">
        <f t="shared" si="17"/>
        <v>-7748000000</v>
      </c>
    </row>
    <row r="151" spans="1:11" x14ac:dyDescent="0.25">
      <c r="A151" s="11" t="s">
        <v>1127</v>
      </c>
      <c r="B151" s="18">
        <v>-8000000</v>
      </c>
      <c r="C151" s="18">
        <v>-6772131</v>
      </c>
      <c r="D151" s="18">
        <f t="shared" si="18"/>
        <v>-1227869</v>
      </c>
      <c r="E151" s="11" t="s">
        <v>1116</v>
      </c>
      <c r="F151" s="11">
        <v>0</v>
      </c>
      <c r="G151" s="36">
        <f t="shared" si="14"/>
        <v>144</v>
      </c>
      <c r="H151" s="103">
        <f t="shared" si="15"/>
        <v>0</v>
      </c>
      <c r="I151" s="103">
        <f t="shared" si="13"/>
        <v>-1152000000</v>
      </c>
      <c r="J151" s="103">
        <f t="shared" si="16"/>
        <v>-975186864</v>
      </c>
      <c r="K151" s="11">
        <f t="shared" si="17"/>
        <v>-176813136</v>
      </c>
    </row>
    <row r="152" spans="1:11" x14ac:dyDescent="0.25">
      <c r="A152" s="11" t="s">
        <v>1127</v>
      </c>
      <c r="B152" s="18">
        <v>-31230</v>
      </c>
      <c r="C152" s="18">
        <v>0</v>
      </c>
      <c r="D152" s="18">
        <f t="shared" si="18"/>
        <v>-31230</v>
      </c>
      <c r="E152" s="11" t="s">
        <v>1128</v>
      </c>
      <c r="F152" s="11">
        <v>11</v>
      </c>
      <c r="G152" s="36">
        <f t="shared" si="14"/>
        <v>144</v>
      </c>
      <c r="H152" s="103">
        <f t="shared" si="15"/>
        <v>0</v>
      </c>
      <c r="I152" s="103">
        <f t="shared" si="13"/>
        <v>-4497120</v>
      </c>
      <c r="J152" s="103">
        <f t="shared" si="16"/>
        <v>0</v>
      </c>
      <c r="K152" s="103">
        <f t="shared" si="17"/>
        <v>-4497120</v>
      </c>
    </row>
    <row r="153" spans="1:11" x14ac:dyDescent="0.25">
      <c r="A153" s="103" t="s">
        <v>1173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133</v>
      </c>
      <c r="H153" s="103">
        <f t="shared" si="15"/>
        <v>1</v>
      </c>
      <c r="I153" s="103">
        <f t="shared" si="13"/>
        <v>17831484</v>
      </c>
      <c r="J153" s="103">
        <f t="shared" si="16"/>
        <v>5429160</v>
      </c>
      <c r="K153" s="103">
        <f t="shared" si="17"/>
        <v>12402324</v>
      </c>
    </row>
    <row r="154" spans="1:11" x14ac:dyDescent="0.25">
      <c r="A154" s="103" t="s">
        <v>1184</v>
      </c>
      <c r="B154" s="18">
        <v>6824082</v>
      </c>
      <c r="C154" s="18">
        <v>6824082</v>
      </c>
      <c r="D154" s="18">
        <f t="shared" si="18"/>
        <v>0</v>
      </c>
      <c r="E154" s="103" t="s">
        <v>1185</v>
      </c>
      <c r="F154" s="103">
        <v>5</v>
      </c>
      <c r="G154" s="36">
        <f t="shared" si="14"/>
        <v>130</v>
      </c>
      <c r="H154" s="103">
        <f t="shared" si="15"/>
        <v>1</v>
      </c>
      <c r="I154" s="103">
        <f t="shared" si="13"/>
        <v>880306578</v>
      </c>
      <c r="J154" s="103">
        <f t="shared" si="16"/>
        <v>880306578</v>
      </c>
      <c r="K154" s="103">
        <f t="shared" si="17"/>
        <v>0</v>
      </c>
    </row>
    <row r="155" spans="1:11" x14ac:dyDescent="0.25">
      <c r="A155" s="103" t="s">
        <v>1203</v>
      </c>
      <c r="B155" s="18">
        <v>-200000</v>
      </c>
      <c r="C155" s="18">
        <v>0</v>
      </c>
      <c r="D155" s="18">
        <f t="shared" si="18"/>
        <v>-200000</v>
      </c>
      <c r="E155" s="103" t="s">
        <v>761</v>
      </c>
      <c r="F155" s="103">
        <v>0</v>
      </c>
      <c r="G155" s="36">
        <f t="shared" si="14"/>
        <v>125</v>
      </c>
      <c r="H155" s="103">
        <f t="shared" si="15"/>
        <v>0</v>
      </c>
      <c r="I155" s="103">
        <f t="shared" si="13"/>
        <v>-25000000</v>
      </c>
      <c r="J155" s="103">
        <f t="shared" si="16"/>
        <v>0</v>
      </c>
      <c r="K155" s="103">
        <f t="shared" si="17"/>
        <v>-25000000</v>
      </c>
    </row>
    <row r="156" spans="1:11" x14ac:dyDescent="0.25">
      <c r="A156" s="103" t="s">
        <v>1203</v>
      </c>
      <c r="B156" s="18">
        <v>-247840</v>
      </c>
      <c r="C156" s="18">
        <v>0</v>
      </c>
      <c r="D156" s="18">
        <f t="shared" si="18"/>
        <v>-247840</v>
      </c>
      <c r="E156" s="103" t="s">
        <v>1205</v>
      </c>
      <c r="F156" s="103">
        <v>1</v>
      </c>
      <c r="G156" s="36">
        <f t="shared" si="14"/>
        <v>125</v>
      </c>
      <c r="H156" s="103">
        <f t="shared" si="15"/>
        <v>0</v>
      </c>
      <c r="I156" s="103">
        <f t="shared" si="13"/>
        <v>-30980000</v>
      </c>
      <c r="J156" s="103">
        <f t="shared" si="16"/>
        <v>0</v>
      </c>
      <c r="K156" s="103">
        <f t="shared" si="17"/>
        <v>-30980000</v>
      </c>
    </row>
    <row r="157" spans="1:11" x14ac:dyDescent="0.25">
      <c r="A157" s="103" t="s">
        <v>1209</v>
      </c>
      <c r="B157" s="18">
        <v>-162340</v>
      </c>
      <c r="C157" s="18">
        <v>0</v>
      </c>
      <c r="D157" s="18">
        <f t="shared" si="18"/>
        <v>-162340</v>
      </c>
      <c r="E157" s="103" t="s">
        <v>1210</v>
      </c>
      <c r="F157" s="103">
        <v>0</v>
      </c>
      <c r="G157" s="36">
        <f t="shared" si="14"/>
        <v>124</v>
      </c>
      <c r="H157" s="103">
        <f t="shared" si="15"/>
        <v>0</v>
      </c>
      <c r="I157" s="103">
        <f t="shared" si="13"/>
        <v>-20130160</v>
      </c>
      <c r="J157" s="103">
        <f t="shared" si="16"/>
        <v>0</v>
      </c>
      <c r="K157" s="103">
        <f t="shared" si="17"/>
        <v>-20130160</v>
      </c>
    </row>
    <row r="158" spans="1:11" x14ac:dyDescent="0.25">
      <c r="A158" s="103" t="s">
        <v>1209</v>
      </c>
      <c r="B158" s="18">
        <v>-3000900</v>
      </c>
      <c r="C158" s="18">
        <v>0</v>
      </c>
      <c r="D158" s="18">
        <f t="shared" si="18"/>
        <v>-3000900</v>
      </c>
      <c r="E158" s="103" t="s">
        <v>1211</v>
      </c>
      <c r="F158" s="103">
        <v>2</v>
      </c>
      <c r="G158" s="36">
        <f t="shared" si="14"/>
        <v>124</v>
      </c>
      <c r="H158" s="103">
        <f t="shared" si="15"/>
        <v>0</v>
      </c>
      <c r="I158" s="103">
        <f t="shared" si="13"/>
        <v>-372111600</v>
      </c>
      <c r="J158" s="103">
        <f t="shared" si="16"/>
        <v>0</v>
      </c>
      <c r="K158" s="103">
        <f t="shared" si="17"/>
        <v>-372111600</v>
      </c>
    </row>
    <row r="159" spans="1:11" x14ac:dyDescent="0.25">
      <c r="A159" s="103" t="s">
        <v>1225</v>
      </c>
      <c r="B159" s="18">
        <v>-1000500</v>
      </c>
      <c r="C159" s="18">
        <v>0</v>
      </c>
      <c r="D159" s="18">
        <f t="shared" si="18"/>
        <v>-1000500</v>
      </c>
      <c r="E159" s="103" t="s">
        <v>1226</v>
      </c>
      <c r="F159" s="103">
        <v>4</v>
      </c>
      <c r="G159" s="36">
        <f t="shared" si="14"/>
        <v>122</v>
      </c>
      <c r="H159" s="103">
        <f t="shared" si="15"/>
        <v>0</v>
      </c>
      <c r="I159" s="103">
        <f t="shared" si="13"/>
        <v>-122061000</v>
      </c>
      <c r="J159" s="103">
        <f t="shared" si="16"/>
        <v>0</v>
      </c>
      <c r="K159" s="103">
        <f t="shared" si="17"/>
        <v>-122061000</v>
      </c>
    </row>
    <row r="160" spans="1:11" x14ac:dyDescent="0.25">
      <c r="A160" s="103" t="s">
        <v>1237</v>
      </c>
      <c r="B160" s="18">
        <v>-100000</v>
      </c>
      <c r="C160" s="18">
        <v>0</v>
      </c>
      <c r="D160" s="18">
        <f t="shared" si="18"/>
        <v>-100000</v>
      </c>
      <c r="E160" s="103" t="s">
        <v>1238</v>
      </c>
      <c r="F160" s="103">
        <v>1</v>
      </c>
      <c r="G160" s="36">
        <f t="shared" si="14"/>
        <v>118</v>
      </c>
      <c r="H160" s="103">
        <f t="shared" si="15"/>
        <v>0</v>
      </c>
      <c r="I160" s="103">
        <f t="shared" si="13"/>
        <v>-11800000</v>
      </c>
      <c r="J160" s="103">
        <f t="shared" si="16"/>
        <v>0</v>
      </c>
      <c r="K160" s="103">
        <f t="shared" si="17"/>
        <v>-11800000</v>
      </c>
    </row>
    <row r="161" spans="1:13" x14ac:dyDescent="0.25">
      <c r="A161" s="103" t="s">
        <v>1241</v>
      </c>
      <c r="B161" s="18">
        <v>-2000000</v>
      </c>
      <c r="C161" s="18">
        <v>0</v>
      </c>
      <c r="D161" s="18">
        <f t="shared" si="18"/>
        <v>-2000000</v>
      </c>
      <c r="E161" s="103" t="s">
        <v>1116</v>
      </c>
      <c r="F161" s="103">
        <v>0</v>
      </c>
      <c r="G161" s="36">
        <f t="shared" si="14"/>
        <v>117</v>
      </c>
      <c r="H161" s="103">
        <f t="shared" si="15"/>
        <v>0</v>
      </c>
      <c r="I161" s="103">
        <f t="shared" si="13"/>
        <v>-234000000</v>
      </c>
      <c r="J161" s="103">
        <f t="shared" si="16"/>
        <v>0</v>
      </c>
      <c r="K161" s="103">
        <f t="shared" si="17"/>
        <v>-234000000</v>
      </c>
    </row>
    <row r="162" spans="1:13" x14ac:dyDescent="0.25">
      <c r="A162" s="103" t="s">
        <v>1241</v>
      </c>
      <c r="B162" s="18">
        <v>-1000500</v>
      </c>
      <c r="C162" s="18">
        <v>0</v>
      </c>
      <c r="D162" s="18">
        <f t="shared" si="18"/>
        <v>-1000500</v>
      </c>
      <c r="E162" s="103" t="s">
        <v>1249</v>
      </c>
      <c r="F162" s="103">
        <v>3</v>
      </c>
      <c r="G162" s="36">
        <f t="shared" si="14"/>
        <v>117</v>
      </c>
      <c r="H162" s="103">
        <f t="shared" si="15"/>
        <v>0</v>
      </c>
      <c r="I162" s="103">
        <f t="shared" si="13"/>
        <v>-117058500</v>
      </c>
      <c r="J162" s="103">
        <f t="shared" si="16"/>
        <v>0</v>
      </c>
      <c r="K162" s="103">
        <f t="shared" si="17"/>
        <v>-117058500</v>
      </c>
    </row>
    <row r="163" spans="1:13" x14ac:dyDescent="0.25">
      <c r="A163" s="103" t="s">
        <v>1256</v>
      </c>
      <c r="B163" s="18">
        <v>-5000</v>
      </c>
      <c r="C163" s="18">
        <v>0</v>
      </c>
      <c r="D163" s="18">
        <f t="shared" si="18"/>
        <v>-5000</v>
      </c>
      <c r="E163" s="103" t="s">
        <v>1238</v>
      </c>
      <c r="F163" s="103">
        <v>10</v>
      </c>
      <c r="G163" s="36">
        <f t="shared" si="14"/>
        <v>114</v>
      </c>
      <c r="H163" s="103">
        <f t="shared" si="15"/>
        <v>0</v>
      </c>
      <c r="I163" s="103">
        <f t="shared" si="13"/>
        <v>-570000</v>
      </c>
      <c r="J163" s="103">
        <f t="shared" si="16"/>
        <v>0</v>
      </c>
      <c r="K163" s="103">
        <f t="shared" si="17"/>
        <v>-570000</v>
      </c>
    </row>
    <row r="164" spans="1:13" x14ac:dyDescent="0.25">
      <c r="A164" s="103" t="s">
        <v>3699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104</v>
      </c>
      <c r="H164" s="103">
        <f t="shared" si="15"/>
        <v>1</v>
      </c>
      <c r="I164" s="103">
        <f t="shared" si="13"/>
        <v>309000000</v>
      </c>
      <c r="J164" s="103">
        <f t="shared" si="16"/>
        <v>0</v>
      </c>
      <c r="K164" s="103">
        <f t="shared" si="17"/>
        <v>309000000</v>
      </c>
    </row>
    <row r="165" spans="1:13" x14ac:dyDescent="0.25">
      <c r="A165" s="103" t="s">
        <v>3703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103</v>
      </c>
      <c r="H165" s="103">
        <f t="shared" si="15"/>
        <v>1</v>
      </c>
      <c r="I165" s="103">
        <f t="shared" si="13"/>
        <v>306000000</v>
      </c>
      <c r="J165" s="103">
        <f t="shared" si="16"/>
        <v>0</v>
      </c>
      <c r="K165" s="103">
        <f t="shared" si="17"/>
        <v>306000000</v>
      </c>
    </row>
    <row r="166" spans="1:13" x14ac:dyDescent="0.25">
      <c r="A166" s="103" t="s">
        <v>3705</v>
      </c>
      <c r="B166" s="18">
        <v>20314</v>
      </c>
      <c r="C166" s="18">
        <v>59842</v>
      </c>
      <c r="D166" s="18">
        <f t="shared" si="18"/>
        <v>-39528</v>
      </c>
      <c r="E166" s="103" t="s">
        <v>3708</v>
      </c>
      <c r="F166" s="103">
        <v>5</v>
      </c>
      <c r="G166" s="36">
        <f t="shared" si="14"/>
        <v>102</v>
      </c>
      <c r="H166" s="103">
        <f t="shared" si="15"/>
        <v>1</v>
      </c>
      <c r="I166" s="103">
        <f t="shared" si="13"/>
        <v>2051714</v>
      </c>
      <c r="J166" s="103">
        <f t="shared" si="16"/>
        <v>6044042</v>
      </c>
      <c r="K166" s="103">
        <f t="shared" si="17"/>
        <v>-3992328</v>
      </c>
    </row>
    <row r="167" spans="1:13" x14ac:dyDescent="0.25">
      <c r="A167" s="103" t="s">
        <v>3728</v>
      </c>
      <c r="B167" s="18">
        <v>-3000900</v>
      </c>
      <c r="C167" s="18">
        <v>0</v>
      </c>
      <c r="D167" s="18">
        <f t="shared" si="18"/>
        <v>-3000900</v>
      </c>
      <c r="E167" s="103" t="s">
        <v>3729</v>
      </c>
      <c r="F167" s="103">
        <v>18</v>
      </c>
      <c r="G167" s="36">
        <f t="shared" si="14"/>
        <v>97</v>
      </c>
      <c r="H167" s="103">
        <f t="shared" si="15"/>
        <v>0</v>
      </c>
      <c r="I167" s="103">
        <f t="shared" si="13"/>
        <v>-291087300</v>
      </c>
      <c r="J167" s="103">
        <f t="shared" si="16"/>
        <v>0</v>
      </c>
      <c r="K167" s="103">
        <f t="shared" si="17"/>
        <v>-291087300</v>
      </c>
    </row>
    <row r="168" spans="1:13" x14ac:dyDescent="0.25">
      <c r="A168" s="103" t="s">
        <v>3806</v>
      </c>
      <c r="B168" s="18">
        <v>-3000900</v>
      </c>
      <c r="C168" s="18">
        <v>0</v>
      </c>
      <c r="D168" s="18">
        <f t="shared" si="18"/>
        <v>-3000900</v>
      </c>
      <c r="E168" s="103" t="s">
        <v>3807</v>
      </c>
      <c r="F168" s="103">
        <v>8</v>
      </c>
      <c r="G168" s="36">
        <f t="shared" si="14"/>
        <v>79</v>
      </c>
      <c r="H168" s="103">
        <f t="shared" si="15"/>
        <v>0</v>
      </c>
      <c r="I168" s="103">
        <f t="shared" si="13"/>
        <v>-237071100</v>
      </c>
      <c r="J168" s="103">
        <f t="shared" si="16"/>
        <v>0</v>
      </c>
      <c r="K168" s="103">
        <f t="shared" si="17"/>
        <v>-237071100</v>
      </c>
      <c r="M168" t="s">
        <v>25</v>
      </c>
    </row>
    <row r="169" spans="1:13" x14ac:dyDescent="0.25">
      <c r="A169" s="103" t="s">
        <v>3838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71</v>
      </c>
      <c r="H169" s="103">
        <f t="shared" si="15"/>
        <v>1</v>
      </c>
      <c r="I169" s="103">
        <f t="shared" si="13"/>
        <v>1519350</v>
      </c>
      <c r="J169" s="103">
        <f t="shared" si="16"/>
        <v>4796050</v>
      </c>
      <c r="K169" s="103">
        <f t="shared" si="17"/>
        <v>-3276700</v>
      </c>
    </row>
    <row r="170" spans="1:13" x14ac:dyDescent="0.25">
      <c r="A170" s="103" t="s">
        <v>3962</v>
      </c>
      <c r="B170" s="18">
        <v>5000000</v>
      </c>
      <c r="C170" s="18">
        <v>0</v>
      </c>
      <c r="D170" s="18">
        <f t="shared" si="18"/>
        <v>5000000</v>
      </c>
      <c r="E170" s="103" t="s">
        <v>3926</v>
      </c>
      <c r="F170" s="103">
        <v>1</v>
      </c>
      <c r="G170" s="36">
        <f t="shared" si="14"/>
        <v>47</v>
      </c>
      <c r="H170" s="103">
        <f t="shared" si="15"/>
        <v>1</v>
      </c>
      <c r="I170" s="103">
        <f t="shared" si="13"/>
        <v>230000000</v>
      </c>
      <c r="J170" s="103">
        <f t="shared" si="16"/>
        <v>0</v>
      </c>
      <c r="K170" s="103">
        <f t="shared" si="17"/>
        <v>230000000</v>
      </c>
    </row>
    <row r="171" spans="1:13" x14ac:dyDescent="0.25">
      <c r="A171" s="103" t="s">
        <v>3967</v>
      </c>
      <c r="B171" s="18">
        <v>-5000000</v>
      </c>
      <c r="C171" s="18">
        <v>0</v>
      </c>
      <c r="D171" s="18">
        <f t="shared" si="18"/>
        <v>-5000000</v>
      </c>
      <c r="E171" s="103" t="s">
        <v>3968</v>
      </c>
      <c r="F171" s="103">
        <v>6</v>
      </c>
      <c r="G171" s="36">
        <f t="shared" si="14"/>
        <v>46</v>
      </c>
      <c r="H171" s="103">
        <f t="shared" si="15"/>
        <v>0</v>
      </c>
      <c r="I171" s="103">
        <f t="shared" si="13"/>
        <v>-230000000</v>
      </c>
      <c r="J171" s="103">
        <f t="shared" si="16"/>
        <v>0</v>
      </c>
      <c r="K171" s="103">
        <f t="shared" si="17"/>
        <v>-230000000</v>
      </c>
    </row>
    <row r="172" spans="1:13" x14ac:dyDescent="0.25">
      <c r="A172" s="103" t="s">
        <v>3997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40</v>
      </c>
      <c r="H172" s="103">
        <f t="shared" si="15"/>
        <v>1</v>
      </c>
      <c r="I172" s="103">
        <f t="shared" si="13"/>
        <v>19344</v>
      </c>
      <c r="J172" s="103">
        <f t="shared" si="16"/>
        <v>2444559</v>
      </c>
      <c r="K172" s="103">
        <f t="shared" si="17"/>
        <v>-2425215</v>
      </c>
    </row>
    <row r="173" spans="1:13" x14ac:dyDescent="0.25">
      <c r="A173" s="103" t="s">
        <v>4035</v>
      </c>
      <c r="B173" s="18">
        <v>785000</v>
      </c>
      <c r="C173" s="18">
        <v>0</v>
      </c>
      <c r="D173" s="18">
        <f t="shared" si="18"/>
        <v>785000</v>
      </c>
      <c r="E173" s="103" t="s">
        <v>4036</v>
      </c>
      <c r="F173" s="103">
        <v>11</v>
      </c>
      <c r="G173" s="36">
        <f t="shared" si="14"/>
        <v>39</v>
      </c>
      <c r="H173" s="103">
        <f t="shared" si="15"/>
        <v>1</v>
      </c>
      <c r="I173" s="103">
        <f t="shared" si="13"/>
        <v>29830000</v>
      </c>
      <c r="J173" s="103">
        <f t="shared" si="16"/>
        <v>0</v>
      </c>
      <c r="K173" s="103">
        <f t="shared" si="17"/>
        <v>29830000</v>
      </c>
    </row>
    <row r="174" spans="1:13" x14ac:dyDescent="0.25">
      <c r="A174" s="11" t="s">
        <v>4035</v>
      </c>
      <c r="B174" s="18">
        <v>-32000</v>
      </c>
      <c r="C174" s="18">
        <v>0</v>
      </c>
      <c r="D174" s="18">
        <f t="shared" si="18"/>
        <v>-32000</v>
      </c>
      <c r="E174" s="11" t="s">
        <v>4006</v>
      </c>
      <c r="F174" s="11">
        <v>2</v>
      </c>
      <c r="G174" s="36">
        <f t="shared" si="14"/>
        <v>28</v>
      </c>
      <c r="H174" s="103">
        <f t="shared" si="15"/>
        <v>0</v>
      </c>
      <c r="I174" s="103">
        <f t="shared" si="13"/>
        <v>-896000</v>
      </c>
      <c r="J174" s="103">
        <f t="shared" si="16"/>
        <v>0</v>
      </c>
      <c r="K174" s="103">
        <f t="shared" si="17"/>
        <v>-896000</v>
      </c>
    </row>
    <row r="175" spans="1:13" x14ac:dyDescent="0.25">
      <c r="A175" s="103" t="s">
        <v>4037</v>
      </c>
      <c r="B175" s="18">
        <v>-750000</v>
      </c>
      <c r="C175" s="18">
        <v>0</v>
      </c>
      <c r="D175" s="18">
        <f t="shared" si="18"/>
        <v>-750000</v>
      </c>
      <c r="E175" s="103" t="s">
        <v>3804</v>
      </c>
      <c r="F175" s="103">
        <v>9</v>
      </c>
      <c r="G175" s="36">
        <f t="shared" si="14"/>
        <v>26</v>
      </c>
      <c r="H175" s="103">
        <f t="shared" si="15"/>
        <v>0</v>
      </c>
      <c r="I175" s="103">
        <f t="shared" si="13"/>
        <v>-19500000</v>
      </c>
      <c r="J175" s="103">
        <f t="shared" si="16"/>
        <v>0</v>
      </c>
      <c r="K175" s="103">
        <f t="shared" si="17"/>
        <v>-19500000</v>
      </c>
    </row>
    <row r="176" spans="1:13" x14ac:dyDescent="0.25">
      <c r="A176" s="103" t="s">
        <v>4076</v>
      </c>
      <c r="B176" s="18">
        <v>-9396</v>
      </c>
      <c r="C176" s="18">
        <v>0</v>
      </c>
      <c r="D176" s="18">
        <f t="shared" si="18"/>
        <v>-9396</v>
      </c>
      <c r="E176" s="103" t="s">
        <v>4077</v>
      </c>
      <c r="F176" s="103">
        <v>1</v>
      </c>
      <c r="G176" s="36">
        <f t="shared" si="14"/>
        <v>17</v>
      </c>
      <c r="H176" s="103">
        <f t="shared" si="15"/>
        <v>0</v>
      </c>
      <c r="I176" s="103">
        <f t="shared" si="13"/>
        <v>-159732</v>
      </c>
      <c r="J176" s="103">
        <f t="shared" si="16"/>
        <v>0</v>
      </c>
      <c r="K176" s="103">
        <f t="shared" si="17"/>
        <v>-159732</v>
      </c>
    </row>
    <row r="177" spans="1:14" x14ac:dyDescent="0.25">
      <c r="A177" s="103" t="s">
        <v>4080</v>
      </c>
      <c r="B177" s="18">
        <v>-43300</v>
      </c>
      <c r="C177" s="18">
        <v>0</v>
      </c>
      <c r="D177" s="18">
        <f t="shared" si="18"/>
        <v>-43300</v>
      </c>
      <c r="E177" s="103" t="s">
        <v>4082</v>
      </c>
      <c r="F177" s="103">
        <v>3</v>
      </c>
      <c r="G177" s="36">
        <f t="shared" si="14"/>
        <v>16</v>
      </c>
      <c r="H177" s="103">
        <f t="shared" si="15"/>
        <v>0</v>
      </c>
      <c r="I177" s="103">
        <f t="shared" si="13"/>
        <v>-692800</v>
      </c>
      <c r="J177" s="103">
        <f t="shared" si="16"/>
        <v>0</v>
      </c>
      <c r="K177" s="103">
        <f t="shared" si="17"/>
        <v>-692800</v>
      </c>
    </row>
    <row r="178" spans="1:14" x14ac:dyDescent="0.25">
      <c r="A178" s="103" t="s">
        <v>3720</v>
      </c>
      <c r="B178" s="18">
        <v>360000</v>
      </c>
      <c r="C178" s="18">
        <v>0</v>
      </c>
      <c r="D178" s="18">
        <f t="shared" si="18"/>
        <v>360000</v>
      </c>
      <c r="E178" s="103" t="s">
        <v>4093</v>
      </c>
      <c r="F178" s="103">
        <v>2</v>
      </c>
      <c r="G178" s="36">
        <f t="shared" si="14"/>
        <v>13</v>
      </c>
      <c r="H178" s="103">
        <f t="shared" si="15"/>
        <v>1</v>
      </c>
      <c r="I178" s="103">
        <f t="shared" si="13"/>
        <v>4320000</v>
      </c>
      <c r="J178" s="103">
        <f t="shared" si="16"/>
        <v>0</v>
      </c>
      <c r="K178" s="103">
        <f t="shared" si="17"/>
        <v>4320000</v>
      </c>
    </row>
    <row r="179" spans="1:14" x14ac:dyDescent="0.25">
      <c r="A179" s="103" t="s">
        <v>4095</v>
      </c>
      <c r="B179" s="18">
        <v>3000000</v>
      </c>
      <c r="C179" s="18">
        <v>0</v>
      </c>
      <c r="D179" s="18">
        <f t="shared" si="18"/>
        <v>3000000</v>
      </c>
      <c r="E179" s="103" t="s">
        <v>4096</v>
      </c>
      <c r="F179" s="103">
        <v>0</v>
      </c>
      <c r="G179" s="36">
        <f t="shared" si="14"/>
        <v>11</v>
      </c>
      <c r="H179" s="103">
        <f t="shared" si="15"/>
        <v>1</v>
      </c>
      <c r="I179" s="103">
        <f t="shared" si="13"/>
        <v>30000000</v>
      </c>
      <c r="J179" s="103">
        <f t="shared" si="16"/>
        <v>0</v>
      </c>
      <c r="K179" s="103">
        <f t="shared" si="17"/>
        <v>30000000</v>
      </c>
    </row>
    <row r="180" spans="1:14" x14ac:dyDescent="0.25">
      <c r="A180" s="103" t="s">
        <v>4095</v>
      </c>
      <c r="B180" s="18">
        <v>-12050</v>
      </c>
      <c r="C180" s="18">
        <v>0</v>
      </c>
      <c r="D180" s="18">
        <f t="shared" si="18"/>
        <v>-12050</v>
      </c>
      <c r="E180" s="103" t="s">
        <v>4077</v>
      </c>
      <c r="F180" s="103">
        <v>2</v>
      </c>
      <c r="G180" s="36">
        <f t="shared" si="14"/>
        <v>11</v>
      </c>
      <c r="H180" s="103">
        <f t="shared" si="15"/>
        <v>0</v>
      </c>
      <c r="I180" s="103">
        <f t="shared" si="13"/>
        <v>-132550</v>
      </c>
      <c r="J180" s="103">
        <f t="shared" si="16"/>
        <v>0</v>
      </c>
      <c r="K180" s="103">
        <f t="shared" si="17"/>
        <v>-132550</v>
      </c>
    </row>
    <row r="181" spans="1:14" x14ac:dyDescent="0.25">
      <c r="A181" s="103" t="s">
        <v>4100</v>
      </c>
      <c r="B181" s="18">
        <v>3000000</v>
      </c>
      <c r="C181" s="18">
        <v>0</v>
      </c>
      <c r="D181" s="18">
        <f t="shared" si="18"/>
        <v>3000000</v>
      </c>
      <c r="E181" s="103" t="s">
        <v>4101</v>
      </c>
      <c r="F181" s="103">
        <v>2</v>
      </c>
      <c r="G181" s="36">
        <f t="shared" si="14"/>
        <v>9</v>
      </c>
      <c r="H181" s="103">
        <f t="shared" si="15"/>
        <v>1</v>
      </c>
      <c r="I181" s="103">
        <f t="shared" si="13"/>
        <v>24000000</v>
      </c>
      <c r="J181" s="103">
        <f t="shared" si="16"/>
        <v>0</v>
      </c>
      <c r="K181" s="103">
        <f t="shared" si="17"/>
        <v>24000000</v>
      </c>
    </row>
    <row r="182" spans="1:14" x14ac:dyDescent="0.25">
      <c r="A182" s="103" t="s">
        <v>4111</v>
      </c>
      <c r="B182" s="18">
        <v>-35800</v>
      </c>
      <c r="C182" s="18">
        <v>0</v>
      </c>
      <c r="D182" s="18">
        <f t="shared" si="18"/>
        <v>-35800</v>
      </c>
      <c r="E182" s="103" t="s">
        <v>4112</v>
      </c>
      <c r="F182" s="103">
        <v>1</v>
      </c>
      <c r="G182" s="36">
        <f t="shared" si="14"/>
        <v>7</v>
      </c>
      <c r="H182" s="103">
        <f t="shared" si="15"/>
        <v>0</v>
      </c>
      <c r="I182" s="103">
        <f t="shared" si="13"/>
        <v>-250600</v>
      </c>
      <c r="J182" s="103">
        <f t="shared" si="16"/>
        <v>0</v>
      </c>
      <c r="K182" s="103">
        <f t="shared" si="17"/>
        <v>-250600</v>
      </c>
      <c r="N182" t="s">
        <v>25</v>
      </c>
    </row>
    <row r="183" spans="1:14" x14ac:dyDescent="0.25">
      <c r="A183" s="103" t="s">
        <v>4110</v>
      </c>
      <c r="B183" s="18">
        <v>3600000</v>
      </c>
      <c r="C183" s="18">
        <v>0</v>
      </c>
      <c r="D183" s="18">
        <f t="shared" si="18"/>
        <v>3600000</v>
      </c>
      <c r="E183" s="103" t="s">
        <v>4113</v>
      </c>
      <c r="F183" s="103">
        <v>0</v>
      </c>
      <c r="G183" s="36">
        <f t="shared" si="14"/>
        <v>6</v>
      </c>
      <c r="H183" s="103">
        <f t="shared" si="15"/>
        <v>1</v>
      </c>
      <c r="I183" s="103">
        <f t="shared" si="13"/>
        <v>18000000</v>
      </c>
      <c r="J183" s="103">
        <f t="shared" si="16"/>
        <v>0</v>
      </c>
      <c r="K183" s="103">
        <f t="shared" si="17"/>
        <v>18000000</v>
      </c>
    </row>
    <row r="184" spans="1:14" x14ac:dyDescent="0.25">
      <c r="A184" s="103" t="s">
        <v>4110</v>
      </c>
      <c r="B184" s="18">
        <v>-33377</v>
      </c>
      <c r="C184" s="18">
        <v>0</v>
      </c>
      <c r="D184" s="18">
        <f t="shared" si="18"/>
        <v>-33377</v>
      </c>
      <c r="E184" s="103" t="s">
        <v>4116</v>
      </c>
      <c r="F184" s="103">
        <v>3</v>
      </c>
      <c r="G184" s="36">
        <f t="shared" si="14"/>
        <v>6</v>
      </c>
      <c r="H184" s="103">
        <f t="shared" si="15"/>
        <v>0</v>
      </c>
      <c r="I184" s="103">
        <f t="shared" si="13"/>
        <v>-200262</v>
      </c>
      <c r="J184" s="103">
        <f t="shared" si="16"/>
        <v>0</v>
      </c>
      <c r="K184" s="103">
        <f t="shared" si="17"/>
        <v>-200262</v>
      </c>
    </row>
    <row r="185" spans="1:14" x14ac:dyDescent="0.25">
      <c r="A185" s="103" t="s">
        <v>4148</v>
      </c>
      <c r="B185" s="18">
        <v>-9800000</v>
      </c>
      <c r="C185" s="18">
        <v>0</v>
      </c>
      <c r="D185" s="18">
        <f t="shared" si="18"/>
        <v>-9800000</v>
      </c>
      <c r="E185" s="103" t="s">
        <v>1245</v>
      </c>
      <c r="F185" s="103">
        <v>0</v>
      </c>
      <c r="G185" s="36">
        <f t="shared" si="14"/>
        <v>3</v>
      </c>
      <c r="H185" s="103">
        <f t="shared" si="15"/>
        <v>0</v>
      </c>
      <c r="I185" s="103">
        <f t="shared" si="13"/>
        <v>-29400000</v>
      </c>
      <c r="J185" s="103">
        <f t="shared" si="16"/>
        <v>0</v>
      </c>
      <c r="K185" s="103">
        <f t="shared" si="17"/>
        <v>-29400000</v>
      </c>
    </row>
    <row r="186" spans="1:14" x14ac:dyDescent="0.25">
      <c r="A186" s="103" t="s">
        <v>4148</v>
      </c>
      <c r="B186" s="18">
        <v>18000000</v>
      </c>
      <c r="C186" s="18">
        <v>0</v>
      </c>
      <c r="D186" s="18">
        <f t="shared" si="18"/>
        <v>18000000</v>
      </c>
      <c r="E186" s="103" t="s">
        <v>4150</v>
      </c>
      <c r="F186" s="103">
        <v>0</v>
      </c>
      <c r="G186" s="36">
        <f t="shared" si="14"/>
        <v>3</v>
      </c>
      <c r="H186" s="103">
        <f t="shared" si="15"/>
        <v>1</v>
      </c>
      <c r="I186" s="103">
        <f t="shared" si="13"/>
        <v>36000000</v>
      </c>
      <c r="J186" s="103">
        <f t="shared" si="16"/>
        <v>0</v>
      </c>
      <c r="K186" s="103">
        <f t="shared" si="17"/>
        <v>36000000</v>
      </c>
    </row>
    <row r="187" spans="1:14" x14ac:dyDescent="0.25">
      <c r="A187" s="103" t="s">
        <v>4148</v>
      </c>
      <c r="B187" s="18">
        <v>-9000000</v>
      </c>
      <c r="C187" s="18">
        <v>0</v>
      </c>
      <c r="D187" s="18">
        <f t="shared" si="18"/>
        <v>-9000000</v>
      </c>
      <c r="E187" s="103" t="s">
        <v>1245</v>
      </c>
      <c r="F187" s="103">
        <v>0</v>
      </c>
      <c r="G187" s="36">
        <f t="shared" si="14"/>
        <v>3</v>
      </c>
      <c r="H187" s="103">
        <f t="shared" si="15"/>
        <v>0</v>
      </c>
      <c r="I187" s="103">
        <f t="shared" si="13"/>
        <v>-27000000</v>
      </c>
      <c r="J187" s="103">
        <f t="shared" si="16"/>
        <v>0</v>
      </c>
      <c r="K187" s="103">
        <f t="shared" si="17"/>
        <v>-27000000</v>
      </c>
    </row>
    <row r="188" spans="1:14" x14ac:dyDescent="0.25">
      <c r="A188" s="103" t="s">
        <v>4148</v>
      </c>
      <c r="B188" s="18">
        <v>-11600</v>
      </c>
      <c r="C188" s="18">
        <v>0</v>
      </c>
      <c r="D188" s="18">
        <f t="shared" si="18"/>
        <v>-11600</v>
      </c>
      <c r="E188" s="103" t="s">
        <v>3978</v>
      </c>
      <c r="F188" s="103">
        <v>0</v>
      </c>
      <c r="G188" s="36">
        <f t="shared" si="14"/>
        <v>3</v>
      </c>
      <c r="H188" s="103">
        <f t="shared" si="15"/>
        <v>0</v>
      </c>
      <c r="I188" s="103">
        <f t="shared" si="13"/>
        <v>-34800</v>
      </c>
      <c r="J188" s="103">
        <f t="shared" si="16"/>
        <v>0</v>
      </c>
      <c r="K188" s="103">
        <f t="shared" si="17"/>
        <v>-34800</v>
      </c>
    </row>
    <row r="189" spans="1:14" x14ac:dyDescent="0.25">
      <c r="A189" s="103" t="s">
        <v>4148</v>
      </c>
      <c r="B189" s="18">
        <v>-3304327</v>
      </c>
      <c r="C189" s="18">
        <v>0</v>
      </c>
      <c r="D189" s="18">
        <f t="shared" si="18"/>
        <v>-3304327</v>
      </c>
      <c r="E189" s="103" t="s">
        <v>4154</v>
      </c>
      <c r="F189" s="103">
        <v>1</v>
      </c>
      <c r="G189" s="36">
        <f t="shared" si="14"/>
        <v>3</v>
      </c>
      <c r="H189" s="103">
        <f t="shared" si="15"/>
        <v>0</v>
      </c>
      <c r="I189" s="103">
        <f t="shared" si="13"/>
        <v>-9912981</v>
      </c>
      <c r="J189" s="103">
        <f t="shared" si="16"/>
        <v>0</v>
      </c>
      <c r="K189" s="103">
        <f t="shared" si="17"/>
        <v>-9912981</v>
      </c>
    </row>
    <row r="190" spans="1:14" x14ac:dyDescent="0.25">
      <c r="A190" s="103" t="s">
        <v>4160</v>
      </c>
      <c r="B190" s="18">
        <v>-3000900</v>
      </c>
      <c r="C190" s="18">
        <v>0</v>
      </c>
      <c r="D190" s="18">
        <f t="shared" si="18"/>
        <v>-3000900</v>
      </c>
      <c r="E190" s="103" t="s">
        <v>4161</v>
      </c>
      <c r="F190" s="103">
        <v>1</v>
      </c>
      <c r="G190" s="36">
        <f t="shared" si="14"/>
        <v>2</v>
      </c>
      <c r="H190" s="103">
        <f t="shared" si="15"/>
        <v>0</v>
      </c>
      <c r="I190" s="103">
        <f t="shared" si="13"/>
        <v>-6001800</v>
      </c>
      <c r="J190" s="103">
        <f t="shared" si="16"/>
        <v>0</v>
      </c>
      <c r="K190" s="103">
        <f t="shared" si="17"/>
        <v>-6001800</v>
      </c>
    </row>
    <row r="191" spans="1:14" x14ac:dyDescent="0.25">
      <c r="A191" s="103" t="s">
        <v>4167</v>
      </c>
      <c r="B191" s="18">
        <v>-2760900</v>
      </c>
      <c r="C191" s="18">
        <v>0</v>
      </c>
      <c r="D191" s="18">
        <f t="shared" si="18"/>
        <v>-2760900</v>
      </c>
      <c r="E191" s="103" t="s">
        <v>4168</v>
      </c>
      <c r="F191" s="103">
        <v>1</v>
      </c>
      <c r="G191" s="36">
        <f t="shared" si="14"/>
        <v>1</v>
      </c>
      <c r="H191" s="103">
        <f t="shared" si="15"/>
        <v>0</v>
      </c>
      <c r="I191" s="103">
        <f t="shared" si="13"/>
        <v>-2760900</v>
      </c>
      <c r="J191" s="103">
        <f t="shared" si="16"/>
        <v>0</v>
      </c>
      <c r="K191" s="103">
        <f t="shared" si="17"/>
        <v>-2760900</v>
      </c>
    </row>
    <row r="192" spans="1:14" x14ac:dyDescent="0.25">
      <c r="A192" s="103"/>
      <c r="B192" s="18"/>
      <c r="C192" s="18"/>
      <c r="D192" s="18">
        <f t="shared" si="18"/>
        <v>0</v>
      </c>
      <c r="E192" s="103"/>
      <c r="F192" s="103"/>
      <c r="G192" s="36">
        <f t="shared" si="14"/>
        <v>0</v>
      </c>
      <c r="H192" s="103">
        <f t="shared" si="15"/>
        <v>0</v>
      </c>
      <c r="I192" s="103">
        <f t="shared" si="13"/>
        <v>0</v>
      </c>
      <c r="J192" s="103">
        <f t="shared" si="16"/>
        <v>0</v>
      </c>
      <c r="K192" s="103">
        <f t="shared" si="17"/>
        <v>0</v>
      </c>
    </row>
    <row r="193" spans="1:11" x14ac:dyDescent="0.25">
      <c r="A193" s="103"/>
      <c r="B193" s="18"/>
      <c r="C193" s="18"/>
      <c r="D193" s="18">
        <f t="shared" si="18"/>
        <v>0</v>
      </c>
      <c r="E193" s="103"/>
      <c r="F193" s="103"/>
      <c r="G193" s="36">
        <f t="shared" si="14"/>
        <v>0</v>
      </c>
      <c r="H193" s="103">
        <f t="shared" si="15"/>
        <v>0</v>
      </c>
      <c r="I193" s="103">
        <f t="shared" si="13"/>
        <v>0</v>
      </c>
      <c r="J193" s="103">
        <f t="shared" si="16"/>
        <v>0</v>
      </c>
      <c r="K193" s="103">
        <f t="shared" si="17"/>
        <v>0</v>
      </c>
    </row>
    <row r="194" spans="1:11" x14ac:dyDescent="0.25">
      <c r="A194" s="103"/>
      <c r="B194" s="18"/>
      <c r="C194" s="18"/>
      <c r="D194" s="18">
        <f t="shared" si="18"/>
        <v>0</v>
      </c>
      <c r="E194" s="103"/>
      <c r="F194" s="103"/>
      <c r="G194" s="36">
        <f t="shared" si="14"/>
        <v>0</v>
      </c>
      <c r="H194" s="103">
        <f t="shared" si="15"/>
        <v>0</v>
      </c>
      <c r="I194" s="103">
        <f t="shared" si="13"/>
        <v>0</v>
      </c>
      <c r="J194" s="103">
        <f t="shared" si="16"/>
        <v>0</v>
      </c>
      <c r="K194" s="103">
        <f t="shared" si="17"/>
        <v>0</v>
      </c>
    </row>
    <row r="195" spans="1:11" x14ac:dyDescent="0.25">
      <c r="A195" s="103"/>
      <c r="B195" s="18"/>
      <c r="C195" s="18"/>
      <c r="D195" s="18">
        <f t="shared" si="18"/>
        <v>0</v>
      </c>
      <c r="E195" s="103"/>
      <c r="F195" s="103"/>
      <c r="G195" s="36">
        <f t="shared" si="14"/>
        <v>0</v>
      </c>
      <c r="H195" s="103">
        <f t="shared" si="15"/>
        <v>0</v>
      </c>
      <c r="I195" s="103">
        <f t="shared" si="13"/>
        <v>0</v>
      </c>
      <c r="J195" s="103">
        <f t="shared" si="16"/>
        <v>0</v>
      </c>
      <c r="K195" s="103">
        <f t="shared" si="17"/>
        <v>0</v>
      </c>
    </row>
    <row r="196" spans="1:11" x14ac:dyDescent="0.25">
      <c r="A196" s="103"/>
      <c r="B196" s="18"/>
      <c r="C196" s="18"/>
      <c r="D196" s="18">
        <f t="shared" si="18"/>
        <v>0</v>
      </c>
      <c r="E196" s="103"/>
      <c r="F196" s="103"/>
      <c r="G196" s="36">
        <f t="shared" si="14"/>
        <v>0</v>
      </c>
      <c r="H196" s="103">
        <f t="shared" si="15"/>
        <v>0</v>
      </c>
      <c r="I196" s="103">
        <f t="shared" si="13"/>
        <v>0</v>
      </c>
      <c r="J196" s="103">
        <f t="shared" si="16"/>
        <v>0</v>
      </c>
      <c r="K196" s="103">
        <f t="shared" si="17"/>
        <v>0</v>
      </c>
    </row>
    <row r="197" spans="1:11" x14ac:dyDescent="0.25">
      <c r="A197" s="103"/>
      <c r="B197" s="18"/>
      <c r="C197" s="18"/>
      <c r="D197" s="18">
        <f t="shared" si="18"/>
        <v>0</v>
      </c>
      <c r="E197" s="103"/>
      <c r="F197" s="103"/>
      <c r="G197" s="36">
        <f t="shared" si="14"/>
        <v>0</v>
      </c>
      <c r="H197" s="103">
        <f t="shared" si="15"/>
        <v>0</v>
      </c>
      <c r="I197" s="103">
        <f t="shared" si="13"/>
        <v>0</v>
      </c>
      <c r="J197" s="103">
        <f t="shared" si="16"/>
        <v>0</v>
      </c>
      <c r="K197" s="103">
        <f t="shared" si="17"/>
        <v>0</v>
      </c>
    </row>
    <row r="198" spans="1:11" x14ac:dyDescent="0.25">
      <c r="A198" s="103"/>
      <c r="B198" s="18"/>
      <c r="C198" s="18"/>
      <c r="D198" s="18">
        <f t="shared" si="18"/>
        <v>0</v>
      </c>
      <c r="E198" s="103"/>
      <c r="F198" s="103"/>
      <c r="G198" s="36">
        <f t="shared" si="14"/>
        <v>0</v>
      </c>
      <c r="H198" s="103">
        <f t="shared" si="15"/>
        <v>0</v>
      </c>
      <c r="I198" s="103">
        <f t="shared" si="13"/>
        <v>0</v>
      </c>
      <c r="J198" s="103">
        <f t="shared" si="16"/>
        <v>0</v>
      </c>
      <c r="K198" s="103">
        <f t="shared" si="17"/>
        <v>0</v>
      </c>
    </row>
    <row r="199" spans="1:11" x14ac:dyDescent="0.25">
      <c r="A199" s="103" t="s">
        <v>25</v>
      </c>
      <c r="B199" s="18"/>
      <c r="C199" s="18"/>
      <c r="D199" s="18">
        <f t="shared" si="18"/>
        <v>0</v>
      </c>
      <c r="E199" s="103"/>
      <c r="F199" s="103"/>
      <c r="G199" s="36">
        <f t="shared" si="14"/>
        <v>0</v>
      </c>
      <c r="H199" s="103">
        <f t="shared" si="15"/>
        <v>0</v>
      </c>
      <c r="I199" s="103">
        <f t="shared" si="13"/>
        <v>0</v>
      </c>
      <c r="J199" s="103">
        <f t="shared" si="16"/>
        <v>0</v>
      </c>
      <c r="K199" s="103">
        <f t="shared" si="17"/>
        <v>0</v>
      </c>
    </row>
    <row r="200" spans="1:11" x14ac:dyDescent="0.25">
      <c r="A200" s="103"/>
      <c r="B200" s="18"/>
      <c r="C200" s="18"/>
      <c r="D200" s="18">
        <f t="shared" si="18"/>
        <v>0</v>
      </c>
      <c r="E200" s="103"/>
      <c r="F200" s="103"/>
      <c r="G200" s="36">
        <f t="shared" si="14"/>
        <v>0</v>
      </c>
      <c r="H200" s="103">
        <f t="shared" si="15"/>
        <v>0</v>
      </c>
      <c r="I200" s="103">
        <f t="shared" si="13"/>
        <v>0</v>
      </c>
      <c r="J200" s="103">
        <f t="shared" si="16"/>
        <v>0</v>
      </c>
      <c r="K200" s="103">
        <f t="shared" si="17"/>
        <v>0</v>
      </c>
    </row>
    <row r="201" spans="1:11" x14ac:dyDescent="0.25">
      <c r="A201" s="103"/>
      <c r="B201" s="18"/>
      <c r="C201" s="18"/>
      <c r="D201" s="18">
        <f t="shared" si="18"/>
        <v>0</v>
      </c>
      <c r="E201" s="103"/>
      <c r="F201" s="103"/>
      <c r="G201" s="36">
        <f t="shared" si="14"/>
        <v>0</v>
      </c>
      <c r="H201" s="103">
        <f t="shared" si="15"/>
        <v>0</v>
      </c>
      <c r="I201" s="103">
        <f t="shared" si="13"/>
        <v>0</v>
      </c>
      <c r="J201" s="103">
        <f t="shared" si="16"/>
        <v>0</v>
      </c>
      <c r="K201" s="103">
        <f t="shared" si="17"/>
        <v>0</v>
      </c>
    </row>
    <row r="202" spans="1:11" x14ac:dyDescent="0.25">
      <c r="A202" s="103"/>
      <c r="B202" s="18"/>
      <c r="C202" s="18"/>
      <c r="D202" s="18">
        <f t="shared" si="18"/>
        <v>0</v>
      </c>
      <c r="E202" s="103"/>
      <c r="F202" s="103"/>
      <c r="G202" s="36">
        <f t="shared" si="14"/>
        <v>0</v>
      </c>
      <c r="H202" s="103">
        <f t="shared" si="15"/>
        <v>0</v>
      </c>
      <c r="I202" s="103">
        <f t="shared" si="13"/>
        <v>0</v>
      </c>
      <c r="J202" s="103">
        <f t="shared" si="16"/>
        <v>0</v>
      </c>
      <c r="K202" s="103">
        <f t="shared" si="17"/>
        <v>0</v>
      </c>
    </row>
    <row r="203" spans="1:11" x14ac:dyDescent="0.25">
      <c r="A203" s="103" t="s">
        <v>25</v>
      </c>
      <c r="B203" s="18"/>
      <c r="C203" s="18"/>
      <c r="D203" s="18">
        <f t="shared" si="18"/>
        <v>0</v>
      </c>
      <c r="E203" s="103"/>
      <c r="F203" s="103"/>
      <c r="G203" s="36">
        <f t="shared" si="14"/>
        <v>0</v>
      </c>
      <c r="H203" s="103">
        <f t="shared" si="15"/>
        <v>0</v>
      </c>
      <c r="I203" s="103">
        <f t="shared" si="13"/>
        <v>0</v>
      </c>
      <c r="J203" s="103">
        <f t="shared" si="16"/>
        <v>0</v>
      </c>
      <c r="K203" s="103">
        <f t="shared" si="17"/>
        <v>0</v>
      </c>
    </row>
    <row r="204" spans="1:11" x14ac:dyDescent="0.25">
      <c r="A204" s="103"/>
      <c r="B204" s="18"/>
      <c r="C204" s="18"/>
      <c r="D204" s="18">
        <f t="shared" si="18"/>
        <v>0</v>
      </c>
      <c r="E204" s="103"/>
      <c r="F204" s="103"/>
      <c r="G204" s="36">
        <f t="shared" si="14"/>
        <v>0</v>
      </c>
      <c r="H204" s="103">
        <f t="shared" si="15"/>
        <v>0</v>
      </c>
      <c r="I204" s="103">
        <f t="shared" si="13"/>
        <v>0</v>
      </c>
      <c r="J204" s="103">
        <f t="shared" si="16"/>
        <v>0</v>
      </c>
      <c r="K204" s="103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3">
        <f t="shared" si="15"/>
        <v>0</v>
      </c>
      <c r="I205" s="103">
        <f t="shared" si="13"/>
        <v>0</v>
      </c>
      <c r="J205" s="103">
        <f t="shared" si="16"/>
        <v>0</v>
      </c>
      <c r="K205" s="103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3">
        <f t="shared" si="15"/>
        <v>0</v>
      </c>
      <c r="I206" s="103">
        <f t="shared" si="13"/>
        <v>0</v>
      </c>
      <c r="J206" s="103">
        <f t="shared" si="16"/>
        <v>0</v>
      </c>
      <c r="K206" s="103">
        <f t="shared" si="17"/>
        <v>0</v>
      </c>
    </row>
    <row r="207" spans="1:11" x14ac:dyDescent="0.25">
      <c r="A207" s="11"/>
      <c r="B207" s="29">
        <f>SUM(B2:B206)</f>
        <v>12987</v>
      </c>
      <c r="C207" s="29">
        <f>SUM(C2:C205)</f>
        <v>7835443</v>
      </c>
      <c r="D207" s="29">
        <f>SUM(D2:D205)</f>
        <v>-7822456</v>
      </c>
      <c r="E207" s="11"/>
      <c r="F207" s="11"/>
      <c r="G207" s="11"/>
      <c r="H207" s="11"/>
      <c r="I207" s="29">
        <f>SUM(I2:I206)</f>
        <v>18806861000</v>
      </c>
      <c r="J207" s="29">
        <f>SUM(J2:J206)</f>
        <v>7887742984</v>
      </c>
      <c r="K207" s="29">
        <f>SUM(K2:K206)</f>
        <v>10919118016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21542796.105383735</v>
      </c>
      <c r="J210" s="29">
        <f>J207/G2</f>
        <v>9035215.3310423829</v>
      </c>
      <c r="K210" s="29">
        <f>K207/G2</f>
        <v>12507580.774341352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2">
        <f>D207-D151+D152</f>
        <v>-6625817</v>
      </c>
      <c r="G214" t="s">
        <v>25</v>
      </c>
      <c r="J214">
        <f>J207/I207*1448696</f>
        <v>607594.3087976703</v>
      </c>
      <c r="K214">
        <f>K207/I207*1448696</f>
        <v>841101.6912023297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938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1020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1037</v>
      </c>
      <c r="B61" s="3">
        <v>4172</v>
      </c>
      <c r="C61" s="11" t="s">
        <v>1039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1043</v>
      </c>
      <c r="B62" s="3">
        <v>-161000</v>
      </c>
      <c r="C62" s="11" t="s">
        <v>1051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1056</v>
      </c>
      <c r="B63" s="3">
        <v>-149505</v>
      </c>
      <c r="C63" s="11" t="s">
        <v>1057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1069</v>
      </c>
      <c r="B64" s="3">
        <v>-4940</v>
      </c>
      <c r="C64" s="11" t="s">
        <v>1073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1173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1176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1225</v>
      </c>
      <c r="B67" s="3">
        <v>1000000</v>
      </c>
      <c r="C67" s="11" t="s">
        <v>1230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1241</v>
      </c>
      <c r="B68" s="3">
        <v>-910500</v>
      </c>
      <c r="C68" s="11" t="s">
        <v>1242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1255</v>
      </c>
      <c r="B69" s="117">
        <v>-24550</v>
      </c>
      <c r="C69" s="103" t="s">
        <v>873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1256</v>
      </c>
      <c r="B70" s="117">
        <v>-75000</v>
      </c>
      <c r="C70" s="103" t="s">
        <v>1258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3705</v>
      </c>
      <c r="B71" s="117">
        <v>1471</v>
      </c>
      <c r="C71" s="103" t="s">
        <v>3708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1021</v>
      </c>
    </row>
    <row r="187" spans="1:7" x14ac:dyDescent="0.25">
      <c r="A187" s="11" t="s">
        <v>1020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1021</v>
      </c>
    </row>
    <row r="188" spans="1:7" x14ac:dyDescent="0.25">
      <c r="A188" s="11" t="s">
        <v>1020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1032</v>
      </c>
    </row>
    <row r="189" spans="1:7" x14ac:dyDescent="0.25">
      <c r="A189" s="11" t="s">
        <v>1031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1032</v>
      </c>
    </row>
    <row r="190" spans="1:7" x14ac:dyDescent="0.25">
      <c r="A190" s="11" t="s">
        <v>1031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1021</v>
      </c>
    </row>
    <row r="191" spans="1:7" x14ac:dyDescent="0.25">
      <c r="A191" s="11" t="s">
        <v>1037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1039</v>
      </c>
    </row>
    <row r="192" spans="1:7" x14ac:dyDescent="0.25">
      <c r="A192" s="11" t="s">
        <v>1065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1066</v>
      </c>
    </row>
    <row r="193" spans="1:7" x14ac:dyDescent="0.25">
      <c r="A193" s="11" t="s">
        <v>1076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1077</v>
      </c>
    </row>
    <row r="194" spans="1:7" x14ac:dyDescent="0.25">
      <c r="A194" s="11" t="s">
        <v>1083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1089</v>
      </c>
    </row>
    <row r="195" spans="1:7" x14ac:dyDescent="0.25">
      <c r="A195" s="11" t="s">
        <v>1083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1090</v>
      </c>
    </row>
    <row r="196" spans="1:7" x14ac:dyDescent="0.25">
      <c r="A196" s="11" t="s">
        <v>1083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1091</v>
      </c>
    </row>
    <row r="197" spans="1:7" x14ac:dyDescent="0.25">
      <c r="A197" s="11" t="s">
        <v>1152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1153</v>
      </c>
    </row>
    <row r="198" spans="1:7" x14ac:dyDescent="0.25">
      <c r="A198" s="103" t="s">
        <v>1161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1162</v>
      </c>
    </row>
    <row r="199" spans="1:7" x14ac:dyDescent="0.25">
      <c r="A199" s="103" t="s">
        <v>1161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873</v>
      </c>
    </row>
    <row r="200" spans="1:7" x14ac:dyDescent="0.25">
      <c r="A200" s="103" t="s">
        <v>1171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873</v>
      </c>
    </row>
    <row r="201" spans="1:7" x14ac:dyDescent="0.25">
      <c r="A201" s="103" t="s">
        <v>1173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1184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1188</v>
      </c>
    </row>
    <row r="203" spans="1:7" x14ac:dyDescent="0.25">
      <c r="A203" s="103" t="s">
        <v>1184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1189</v>
      </c>
    </row>
    <row r="204" spans="1:7" x14ac:dyDescent="0.25">
      <c r="A204" s="103" t="s">
        <v>1193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1194</v>
      </c>
    </row>
    <row r="205" spans="1:7" x14ac:dyDescent="0.25">
      <c r="A205" s="103" t="s">
        <v>1195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1200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1201</v>
      </c>
    </row>
    <row r="207" spans="1:7" x14ac:dyDescent="0.25">
      <c r="A207" s="103" t="s">
        <v>1203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1208</v>
      </c>
    </row>
    <row r="208" spans="1:7" x14ac:dyDescent="0.25">
      <c r="A208" s="103" t="s">
        <v>1209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1216</v>
      </c>
    </row>
    <row r="209" spans="1:7" x14ac:dyDescent="0.25">
      <c r="A209" s="103" t="s">
        <v>1225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1231</v>
      </c>
    </row>
    <row r="210" spans="1:7" x14ac:dyDescent="0.25">
      <c r="A210" s="103" t="s">
        <v>1225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1232</v>
      </c>
    </row>
    <row r="211" spans="1:7" x14ac:dyDescent="0.25">
      <c r="A211" s="103" t="s">
        <v>1234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1231</v>
      </c>
    </row>
    <row r="212" spans="1:7" x14ac:dyDescent="0.25">
      <c r="A212" s="103" t="s">
        <v>1237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1240</v>
      </c>
    </row>
    <row r="213" spans="1:7" x14ac:dyDescent="0.25">
      <c r="A213" s="103" t="s">
        <v>1243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1244</v>
      </c>
    </row>
    <row r="214" spans="1:7" x14ac:dyDescent="0.25">
      <c r="A214" s="103" t="s">
        <v>1241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1249</v>
      </c>
    </row>
    <row r="215" spans="1:7" x14ac:dyDescent="0.25">
      <c r="A215" s="103" t="s">
        <v>1256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1259</v>
      </c>
    </row>
    <row r="216" spans="1:7" x14ac:dyDescent="0.25">
      <c r="A216" s="103" t="s">
        <v>1256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1260</v>
      </c>
    </row>
    <row r="217" spans="1:7" x14ac:dyDescent="0.25">
      <c r="A217" s="103" t="s">
        <v>1256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1262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1263</v>
      </c>
    </row>
    <row r="219" spans="1:7" x14ac:dyDescent="0.25">
      <c r="A219" s="103" t="s">
        <v>1275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1276</v>
      </c>
    </row>
    <row r="220" spans="1:7" x14ac:dyDescent="0.25">
      <c r="A220" s="103" t="s">
        <v>1275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1277</v>
      </c>
    </row>
    <row r="221" spans="1:7" x14ac:dyDescent="0.25">
      <c r="A221" s="103" t="s">
        <v>3693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3694</v>
      </c>
    </row>
    <row r="222" spans="1:7" x14ac:dyDescent="0.25">
      <c r="A222" s="103" t="s">
        <v>3695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3697</v>
      </c>
    </row>
    <row r="223" spans="1:7" x14ac:dyDescent="0.25">
      <c r="A223" s="103" t="s">
        <v>3705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3708</v>
      </c>
    </row>
    <row r="224" spans="1:7" x14ac:dyDescent="0.25">
      <c r="A224" s="11" t="s">
        <v>3712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1231</v>
      </c>
    </row>
    <row r="225" spans="1:7" x14ac:dyDescent="0.25">
      <c r="A225" s="11" t="s">
        <v>3728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3729</v>
      </c>
    </row>
    <row r="226" spans="1:7" x14ac:dyDescent="0.25">
      <c r="A226" s="103" t="s">
        <v>3734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3734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3735</v>
      </c>
    </row>
    <row r="228" spans="1:7" x14ac:dyDescent="0.25">
      <c r="A228" s="103" t="s">
        <v>3738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3739</v>
      </c>
    </row>
    <row r="229" spans="1:7" x14ac:dyDescent="0.25">
      <c r="A229" s="103" t="s">
        <v>3738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3741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3742</v>
      </c>
    </row>
    <row r="231" spans="1:7" x14ac:dyDescent="0.25">
      <c r="A231" s="103" t="s">
        <v>3749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3751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3752</v>
      </c>
    </row>
    <row r="233" spans="1:7" x14ac:dyDescent="0.25">
      <c r="A233" s="103" t="s">
        <v>3751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3758</v>
      </c>
    </row>
    <row r="234" spans="1:7" x14ac:dyDescent="0.25">
      <c r="A234" s="103" t="s">
        <v>3765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3791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3792</v>
      </c>
    </row>
    <row r="236" spans="1:7" x14ac:dyDescent="0.25">
      <c r="A236" s="103" t="s">
        <v>1172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3793</v>
      </c>
    </row>
    <row r="237" spans="1:7" x14ac:dyDescent="0.25">
      <c r="A237" s="103" t="s">
        <v>1172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3795</v>
      </c>
    </row>
    <row r="238" spans="1:7" x14ac:dyDescent="0.25">
      <c r="A238" s="103" t="s">
        <v>1172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3798</v>
      </c>
    </row>
    <row r="239" spans="1:7" x14ac:dyDescent="0.25">
      <c r="A239" s="103" t="s">
        <v>3799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3800</v>
      </c>
    </row>
    <row r="240" spans="1:7" x14ac:dyDescent="0.25">
      <c r="A240" s="103" t="s">
        <v>3799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3801</v>
      </c>
    </row>
    <row r="241" spans="1:7" x14ac:dyDescent="0.25">
      <c r="A241" s="103" t="s">
        <v>3816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3817</v>
      </c>
    </row>
    <row r="242" spans="1:7" x14ac:dyDescent="0.25">
      <c r="A242" s="103" t="s">
        <v>3826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3828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3829</v>
      </c>
    </row>
    <row r="244" spans="1:7" x14ac:dyDescent="0.25">
      <c r="A244" s="103" t="s">
        <v>3938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3939</v>
      </c>
    </row>
    <row r="245" spans="1:7" x14ac:dyDescent="0.25">
      <c r="A245" s="103" t="s">
        <v>3947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3948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3950</v>
      </c>
    </row>
    <row r="247" spans="1:7" x14ac:dyDescent="0.25">
      <c r="A247" s="103" t="s">
        <v>3948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3950</v>
      </c>
    </row>
    <row r="248" spans="1:7" x14ac:dyDescent="0.25">
      <c r="A248" s="103" t="s">
        <v>3954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3955</v>
      </c>
    </row>
    <row r="249" spans="1:7" x14ac:dyDescent="0.25">
      <c r="A249" s="74" t="s">
        <v>3973</v>
      </c>
      <c r="B249" s="177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3962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3926</v>
      </c>
    </row>
    <row r="251" spans="1:7" x14ac:dyDescent="0.25">
      <c r="A251" s="103" t="s">
        <v>3967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3970</v>
      </c>
    </row>
    <row r="252" spans="1:7" x14ac:dyDescent="0.25">
      <c r="A252" s="103" t="s">
        <v>3967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3971</v>
      </c>
    </row>
    <row r="253" spans="1:7" x14ac:dyDescent="0.25">
      <c r="A253" s="103" t="s">
        <v>3967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3971</v>
      </c>
    </row>
    <row r="254" spans="1:7" x14ac:dyDescent="0.25">
      <c r="A254" s="103" t="s">
        <v>3967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3974</v>
      </c>
    </row>
    <row r="255" spans="1:7" x14ac:dyDescent="0.25">
      <c r="A255" s="103" t="s">
        <v>3976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3978</v>
      </c>
    </row>
    <row r="256" spans="1:7" x14ac:dyDescent="0.25">
      <c r="A256" s="103" t="s">
        <v>3976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3792</v>
      </c>
    </row>
    <row r="257" spans="1:7" x14ac:dyDescent="0.25">
      <c r="A257" s="103" t="s">
        <v>3980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3981</v>
      </c>
    </row>
    <row r="258" spans="1:7" x14ac:dyDescent="0.25">
      <c r="A258" s="103" t="s">
        <v>3980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3982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3972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J32" sqref="J3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1070</v>
      </c>
      <c r="O6" t="s">
        <v>279</v>
      </c>
      <c r="P6">
        <v>54682</v>
      </c>
      <c r="Q6" s="25" t="s">
        <v>3959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3960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1071</v>
      </c>
      <c r="L10" s="34">
        <v>410021484671</v>
      </c>
      <c r="M10" s="33" t="s">
        <v>1072</v>
      </c>
      <c r="N10" t="s">
        <v>1074</v>
      </c>
      <c r="O10" t="s">
        <v>1075</v>
      </c>
      <c r="P10">
        <v>3781963292</v>
      </c>
      <c r="Q10" s="25" t="s">
        <v>3958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1167</v>
      </c>
      <c r="L13" t="s">
        <v>1164</v>
      </c>
      <c r="N13" t="s">
        <v>1169</v>
      </c>
      <c r="P13" t="s">
        <v>1163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1166</v>
      </c>
      <c r="L14" t="s">
        <v>1165</v>
      </c>
      <c r="M14" t="s">
        <v>1168</v>
      </c>
      <c r="N14" t="s">
        <v>1170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1174</v>
      </c>
      <c r="L17">
        <v>200011228</v>
      </c>
      <c r="M17" t="s">
        <v>1175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4089</v>
      </c>
      <c r="L19" t="s">
        <v>4090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4091</v>
      </c>
      <c r="M20" t="s">
        <v>4092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1015</v>
      </c>
      <c r="B103" s="38">
        <v>295500</v>
      </c>
      <c r="C103" s="73" t="s">
        <v>1016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9" t="s">
        <v>25</v>
      </c>
      <c r="B104" s="180"/>
      <c r="C104" s="181"/>
      <c r="D104" s="179"/>
      <c r="E104" s="179"/>
      <c r="F104" s="179"/>
      <c r="G104" s="179"/>
    </row>
    <row r="105" spans="1:7" x14ac:dyDescent="0.25">
      <c r="A105" s="103" t="s">
        <v>4004</v>
      </c>
      <c r="B105" s="38">
        <f>SUM(B2:B103)</f>
        <v>59475793</v>
      </c>
      <c r="C105" s="73" t="s">
        <v>4003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937</v>
      </c>
      <c r="B108" s="38">
        <v>-60000000</v>
      </c>
      <c r="C108" s="73" t="s">
        <v>1012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937</v>
      </c>
      <c r="B109" s="38">
        <v>5850000</v>
      </c>
      <c r="C109" s="73" t="s">
        <v>1014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1020</v>
      </c>
      <c r="B110" s="38">
        <v>3000000</v>
      </c>
      <c r="C110" s="73" t="s">
        <v>1030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1031</v>
      </c>
      <c r="B111" s="38">
        <v>2000000</v>
      </c>
      <c r="C111" s="73" t="s">
        <v>1030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1031</v>
      </c>
      <c r="B112" s="38">
        <v>-5000000</v>
      </c>
      <c r="C112" s="73" t="s">
        <v>1012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1037</v>
      </c>
      <c r="B113" s="38">
        <v>412668</v>
      </c>
      <c r="C113" s="73" t="s">
        <v>1038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1076</v>
      </c>
      <c r="B114" s="38">
        <v>42000000</v>
      </c>
      <c r="C114" s="73" t="s">
        <v>1077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1083</v>
      </c>
      <c r="B115" s="38">
        <v>-25000000</v>
      </c>
      <c r="C115" s="73" t="s">
        <v>1088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1085</v>
      </c>
      <c r="B116" s="38">
        <v>-200000</v>
      </c>
      <c r="C116" s="73" t="s">
        <v>1108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1115</v>
      </c>
      <c r="B117" s="38">
        <v>-18000000</v>
      </c>
      <c r="C117" s="73" t="s">
        <v>1116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1117</v>
      </c>
      <c r="B118" s="38">
        <v>-2500000</v>
      </c>
      <c r="C118" s="73" t="s">
        <v>1116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1171</v>
      </c>
      <c r="B119" s="38">
        <v>595000</v>
      </c>
      <c r="C119" s="73" t="s">
        <v>1030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1173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1176</v>
      </c>
      <c r="B121" s="38">
        <v>-3200900</v>
      </c>
      <c r="C121" s="73" t="s">
        <v>1177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1184</v>
      </c>
      <c r="B122" s="38">
        <v>16276000</v>
      </c>
      <c r="C122" s="73" t="s">
        <v>1186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1195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1195</v>
      </c>
      <c r="B124" s="38">
        <v>2020000</v>
      </c>
      <c r="C124" s="73" t="s">
        <v>1199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1195</v>
      </c>
      <c r="B125" s="38">
        <v>4975000</v>
      </c>
      <c r="C125" s="73" t="s">
        <v>1196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1209</v>
      </c>
      <c r="B126" s="38">
        <v>-18500000</v>
      </c>
      <c r="C126" s="73" t="s">
        <v>1116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1209</v>
      </c>
      <c r="B127" s="38">
        <v>3000000</v>
      </c>
      <c r="C127" s="73" t="s">
        <v>1215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1209</v>
      </c>
      <c r="B128" s="38">
        <v>-3000900</v>
      </c>
      <c r="C128" s="73" t="s">
        <v>1221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1218</v>
      </c>
      <c r="B129" s="38">
        <v>900000</v>
      </c>
      <c r="C129" s="73" t="s">
        <v>1220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1218</v>
      </c>
      <c r="B130" s="38">
        <v>-3000900</v>
      </c>
      <c r="C130" s="73" t="s">
        <v>1221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1225</v>
      </c>
      <c r="B131" s="38">
        <v>-3000900</v>
      </c>
      <c r="C131" s="73" t="s">
        <v>1233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1234</v>
      </c>
      <c r="B132" s="38">
        <v>-1000500</v>
      </c>
      <c r="C132" s="73" t="s">
        <v>1233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1234</v>
      </c>
      <c r="B133" s="38">
        <v>100000</v>
      </c>
      <c r="C133" s="73" t="s">
        <v>1235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1237</v>
      </c>
      <c r="B134" s="38">
        <v>-200000</v>
      </c>
      <c r="C134" s="73" t="s">
        <v>1238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1241</v>
      </c>
      <c r="B135" s="38">
        <v>-2200000</v>
      </c>
      <c r="C135" s="73" t="s">
        <v>1245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1256</v>
      </c>
      <c r="B136" s="38">
        <v>-905500</v>
      </c>
      <c r="C136" s="73" t="s">
        <v>1257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1266</v>
      </c>
      <c r="B137" s="38">
        <v>1500000</v>
      </c>
      <c r="C137" s="73" t="s">
        <v>1267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3690</v>
      </c>
      <c r="B138" s="38">
        <v>-1000500</v>
      </c>
      <c r="C138" s="73" t="s">
        <v>1249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3690</v>
      </c>
      <c r="B139" s="38">
        <v>-365000</v>
      </c>
      <c r="C139" s="73" t="s">
        <v>3692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3695</v>
      </c>
      <c r="B140" s="38">
        <v>23000000</v>
      </c>
      <c r="C140" s="73" t="s">
        <v>3696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3698</v>
      </c>
      <c r="B141" s="38">
        <v>1800000</v>
      </c>
      <c r="C141" s="73" t="s">
        <v>3696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3711</v>
      </c>
      <c r="B142" s="38">
        <v>200000</v>
      </c>
      <c r="C142" s="73" t="s">
        <v>3696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3699</v>
      </c>
      <c r="B143" s="38">
        <v>-3200900</v>
      </c>
      <c r="C143" s="73" t="s">
        <v>3700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3703</v>
      </c>
      <c r="B144" s="38">
        <v>-3020900</v>
      </c>
      <c r="C144" s="73" t="s">
        <v>3704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3705</v>
      </c>
      <c r="B145" s="38">
        <v>72533</v>
      </c>
      <c r="C145" s="73" t="s">
        <v>3708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3712</v>
      </c>
      <c r="B146" s="38">
        <v>-3000900</v>
      </c>
      <c r="C146" s="73" t="s">
        <v>1233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3728</v>
      </c>
      <c r="B147" s="38">
        <v>-3001400</v>
      </c>
      <c r="C147" s="73" t="s">
        <v>3730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3728</v>
      </c>
      <c r="B148" s="38">
        <v>-216910</v>
      </c>
      <c r="C148" s="73" t="s">
        <v>3733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3734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3747</v>
      </c>
      <c r="B150" s="38">
        <v>5900000</v>
      </c>
      <c r="C150" s="73" t="s">
        <v>3748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3802</v>
      </c>
      <c r="B151" s="38">
        <v>17000000</v>
      </c>
      <c r="C151" s="73" t="s">
        <v>3803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3802</v>
      </c>
      <c r="B152" s="38">
        <v>-1000</v>
      </c>
      <c r="C152" s="73" t="s">
        <v>3804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3806</v>
      </c>
      <c r="B153" s="38">
        <v>3000000</v>
      </c>
      <c r="C153" s="73" t="s">
        <v>3809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3806</v>
      </c>
      <c r="B154" s="38">
        <v>-18011000</v>
      </c>
      <c r="C154" s="73" t="s">
        <v>3811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3806</v>
      </c>
      <c r="B155" s="38">
        <v>-15600000</v>
      </c>
      <c r="C155" s="73" t="s">
        <v>3810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3806</v>
      </c>
      <c r="B156" s="38">
        <v>-1400500</v>
      </c>
      <c r="C156" s="73" t="s">
        <v>3812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3806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3814</v>
      </c>
      <c r="B158" s="38">
        <v>3000000</v>
      </c>
      <c r="C158" s="73" t="s">
        <v>3815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3821</v>
      </c>
      <c r="B159" s="38">
        <v>1000000</v>
      </c>
      <c r="C159" s="73" t="s">
        <v>3696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3820</v>
      </c>
      <c r="B160" s="38">
        <v>-4500000</v>
      </c>
      <c r="C160" s="73" t="s">
        <v>3822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3820</v>
      </c>
      <c r="B161" s="38">
        <v>3000000</v>
      </c>
      <c r="C161" s="73" t="s">
        <v>3823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3820</v>
      </c>
      <c r="B162" s="38">
        <v>-3000000</v>
      </c>
      <c r="C162" s="73" t="s">
        <v>3822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3838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3835</v>
      </c>
      <c r="B164" s="38">
        <v>1160000</v>
      </c>
      <c r="C164" s="73" t="s">
        <v>3842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3839</v>
      </c>
      <c r="B165" s="38">
        <v>-526350</v>
      </c>
      <c r="C165" s="73" t="s">
        <v>3840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3913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3917</v>
      </c>
      <c r="B167" s="38">
        <v>785000</v>
      </c>
      <c r="C167" s="73" t="s">
        <v>3920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3917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3921</v>
      </c>
      <c r="B169" s="38">
        <v>-450000</v>
      </c>
      <c r="C169" s="73" t="s">
        <v>1116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3921</v>
      </c>
      <c r="B170" s="38">
        <v>3000000</v>
      </c>
      <c r="C170" s="73" t="s">
        <v>3926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3921</v>
      </c>
      <c r="B171" s="38">
        <v>-35000</v>
      </c>
      <c r="C171" s="73" t="s">
        <v>3929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3930</v>
      </c>
      <c r="B172" s="38">
        <v>2500000</v>
      </c>
      <c r="C172" s="73" t="s">
        <v>3926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3934</v>
      </c>
      <c r="B173" s="38">
        <v>-130640</v>
      </c>
      <c r="C173" s="73" t="s">
        <v>3935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3948</v>
      </c>
      <c r="B174" s="38">
        <v>-4800000</v>
      </c>
      <c r="C174" s="73" t="s">
        <v>3949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3948</v>
      </c>
      <c r="B175" s="38">
        <v>-320000</v>
      </c>
      <c r="C175" s="73" t="s">
        <v>3950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3948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3987</v>
      </c>
      <c r="B177" s="38">
        <v>-80000</v>
      </c>
      <c r="C177" s="73" t="s">
        <v>761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3987</v>
      </c>
      <c r="B178" s="38">
        <v>-100000</v>
      </c>
      <c r="C178" s="73" t="s">
        <v>3988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3997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4001</v>
      </c>
      <c r="B180" s="38">
        <v>-39030</v>
      </c>
      <c r="C180" s="73" t="s">
        <v>4002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4007</v>
      </c>
      <c r="B181" s="38">
        <v>-32000</v>
      </c>
      <c r="C181" s="73" t="s">
        <v>4008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4011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4013</v>
      </c>
      <c r="B183" s="38">
        <v>-20000</v>
      </c>
      <c r="C183" s="73" t="s">
        <v>4014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993</v>
      </c>
      <c r="B184" s="38">
        <v>-8185</v>
      </c>
      <c r="C184" s="73" t="s">
        <v>4017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4022</v>
      </c>
      <c r="B185" s="38">
        <v>-60100</v>
      </c>
      <c r="C185" s="73" t="s">
        <v>4023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4022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4050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4063</v>
      </c>
      <c r="B188" s="38">
        <v>-16000</v>
      </c>
      <c r="C188" s="73" t="s">
        <v>4064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4066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4074</v>
      </c>
      <c r="B190" s="38">
        <v>-10350</v>
      </c>
      <c r="C190" s="73" t="s">
        <v>4075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"/>
  <sheetViews>
    <sheetView tabSelected="1" topLeftCell="I19" zoomScaleNormal="100" workbookViewId="0">
      <selection activeCell="P23" sqref="P23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5.8554687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</cols>
  <sheetData>
    <row r="1" spans="1:25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25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936</v>
      </c>
      <c r="R2" s="119"/>
      <c r="S2" s="120"/>
      <c r="T2" s="120"/>
      <c r="U2" s="119"/>
      <c r="V2" s="119"/>
      <c r="W2" s="120"/>
      <c r="X2" s="119"/>
      <c r="Y2" s="119"/>
    </row>
    <row r="3" spans="1:25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1126</v>
      </c>
      <c r="N3" s="29">
        <v>46000000</v>
      </c>
      <c r="O3" s="29">
        <v>40000000</v>
      </c>
      <c r="P3" s="11" t="s">
        <v>934</v>
      </c>
      <c r="R3" s="119"/>
      <c r="S3" s="120"/>
      <c r="T3" s="120"/>
      <c r="U3" s="119"/>
      <c r="V3" s="119"/>
      <c r="W3" s="120"/>
      <c r="X3" s="119"/>
      <c r="Y3" s="119"/>
    </row>
    <row r="4" spans="1:25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25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25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-L68*12</f>
        <v>-40599996</v>
      </c>
      <c r="O6" s="29">
        <v>-25000000</v>
      </c>
      <c r="P6" s="11" t="s">
        <v>935</v>
      </c>
      <c r="R6" s="119"/>
      <c r="S6" s="120"/>
      <c r="T6" s="120"/>
      <c r="U6" s="119"/>
      <c r="V6" s="119"/>
      <c r="W6" s="120"/>
      <c r="X6" s="119"/>
      <c r="Y6" s="119"/>
    </row>
    <row r="7" spans="1:25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</row>
    <row r="8" spans="1:25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</row>
    <row r="9" spans="1:25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</row>
    <row r="10" spans="1:25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</row>
    <row r="11" spans="1:25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</row>
    <row r="12" spans="1:25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19"/>
      <c r="S12" s="120"/>
      <c r="T12" s="120"/>
      <c r="U12" s="119"/>
      <c r="V12" s="119"/>
      <c r="W12" s="120"/>
      <c r="X12" s="119"/>
      <c r="Y12" s="119"/>
    </row>
    <row r="13" spans="1:25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</row>
    <row r="14" spans="1:25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1067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</row>
    <row r="15" spans="1:25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1183</v>
      </c>
      <c r="K15" s="2" t="s">
        <v>451</v>
      </c>
      <c r="L15" s="2" t="s">
        <v>452</v>
      </c>
      <c r="M15" s="2"/>
      <c r="N15" s="2" t="s">
        <v>752</v>
      </c>
      <c r="R15" s="119"/>
      <c r="S15" s="120"/>
      <c r="T15" s="120"/>
      <c r="U15" s="119"/>
      <c r="V15" s="119"/>
      <c r="W15" s="120"/>
      <c r="X15" s="119"/>
      <c r="Y15" s="119"/>
    </row>
    <row r="16" spans="1:25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3707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</row>
    <row r="17" spans="1:38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3827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-7822456</v>
      </c>
      <c r="P17" s="28"/>
      <c r="Q17" s="187">
        <v>74302282</v>
      </c>
      <c r="R17" s="186" t="s">
        <v>4054</v>
      </c>
      <c r="S17" s="186">
        <v>4</v>
      </c>
      <c r="T17" s="186" t="s">
        <v>4107</v>
      </c>
      <c r="U17" s="119"/>
      <c r="V17" s="119"/>
      <c r="W17" s="120"/>
      <c r="X17" s="119"/>
      <c r="Y17" s="119"/>
    </row>
    <row r="18" spans="1:38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3998</v>
      </c>
      <c r="K18" s="2" t="s">
        <v>683</v>
      </c>
      <c r="L18" s="43">
        <v>1000000</v>
      </c>
      <c r="M18" s="2"/>
      <c r="N18" s="3"/>
      <c r="R18" s="119"/>
      <c r="S18" s="119"/>
      <c r="T18" s="120"/>
      <c r="U18" s="120"/>
      <c r="V18" s="120"/>
      <c r="W18" s="120"/>
      <c r="X18" s="119"/>
      <c r="Y18" s="119"/>
    </row>
    <row r="19" spans="1:38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11" t="s">
        <v>4114</v>
      </c>
      <c r="K19" s="2" t="s">
        <v>85</v>
      </c>
      <c r="L19" s="43">
        <f>-شهریور97!D57</f>
        <v>8904866</v>
      </c>
      <c r="M19" s="2" t="s">
        <v>3995</v>
      </c>
      <c r="N19" s="3">
        <f>1608*P28</f>
        <v>5242562.4000000004</v>
      </c>
      <c r="O19" s="184" t="s">
        <v>4055</v>
      </c>
      <c r="R19" s="119"/>
      <c r="S19" s="119"/>
      <c r="T19" s="119"/>
      <c r="U19" s="119"/>
      <c r="V19" s="119"/>
      <c r="W19" s="126"/>
      <c r="X19" s="120"/>
      <c r="Y19" s="119"/>
      <c r="AF19" s="103" t="s">
        <v>3674</v>
      </c>
      <c r="AG19" s="103" t="s">
        <v>180</v>
      </c>
      <c r="AH19" s="103" t="s">
        <v>267</v>
      </c>
      <c r="AI19" s="69" t="s">
        <v>4126</v>
      </c>
      <c r="AJ19" s="69" t="s">
        <v>4118</v>
      </c>
      <c r="AK19" s="69" t="s">
        <v>282</v>
      </c>
      <c r="AL19" s="103"/>
    </row>
    <row r="20" spans="1:38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L37</f>
        <v>99371305</v>
      </c>
      <c r="G20" s="29">
        <f t="shared" si="0"/>
        <v>8694547.2381931096</v>
      </c>
      <c r="H20" s="11" t="s">
        <v>4115</v>
      </c>
      <c r="K20" s="2" t="s">
        <v>456</v>
      </c>
      <c r="L20" s="43">
        <v>200000</v>
      </c>
      <c r="M20" s="2" t="s">
        <v>757</v>
      </c>
      <c r="N20" s="3">
        <v>3000000</v>
      </c>
      <c r="O20" s="22"/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1115</v>
      </c>
      <c r="AH20" s="117">
        <v>18000000</v>
      </c>
      <c r="AI20" s="103">
        <v>1</v>
      </c>
      <c r="AJ20" s="103">
        <f t="shared" ref="AJ20:AJ64" si="4">AJ21+AI20</f>
        <v>150</v>
      </c>
      <c r="AK20" s="117">
        <f>AH20*AJ20</f>
        <v>2700000000</v>
      </c>
      <c r="AL20" s="103"/>
    </row>
    <row r="21" spans="1:38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-8904866</v>
      </c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1117</v>
      </c>
      <c r="AH21" s="117">
        <v>2500000</v>
      </c>
      <c r="AI21" s="103">
        <v>1</v>
      </c>
      <c r="AJ21" s="103">
        <f t="shared" si="4"/>
        <v>149</v>
      </c>
      <c r="AK21" s="117">
        <f t="shared" ref="AK21:AK63" si="5">AH21*AJ21</f>
        <v>372500000</v>
      </c>
      <c r="AL21" s="103"/>
    </row>
    <row r="22" spans="1:38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2" t="s">
        <v>920</v>
      </c>
      <c r="L22" s="43">
        <v>4800000</v>
      </c>
      <c r="M22" s="2" t="s">
        <v>754</v>
      </c>
      <c r="N22" s="3">
        <v>1200000</v>
      </c>
      <c r="P22" t="s">
        <v>25</v>
      </c>
      <c r="R22" s="119"/>
      <c r="S22" s="119"/>
      <c r="T22" s="119"/>
      <c r="U22" s="119"/>
      <c r="V22" s="119"/>
      <c r="W22" s="119"/>
      <c r="X22" s="119"/>
      <c r="Y22" s="119"/>
      <c r="AF22" s="103">
        <v>3</v>
      </c>
      <c r="AG22" s="117" t="s">
        <v>1127</v>
      </c>
      <c r="AH22" s="117">
        <v>8000000</v>
      </c>
      <c r="AI22" s="103">
        <v>1</v>
      </c>
      <c r="AJ22" s="103">
        <f t="shared" si="4"/>
        <v>148</v>
      </c>
      <c r="AK22" s="117">
        <f t="shared" si="5"/>
        <v>1184000000</v>
      </c>
      <c r="AL22" s="103"/>
    </row>
    <row r="23" spans="1:38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19"/>
      <c r="S23" s="119"/>
      <c r="T23" s="119"/>
      <c r="U23" s="119"/>
      <c r="V23" s="119"/>
      <c r="W23" s="119"/>
      <c r="X23" s="119"/>
      <c r="Y23" s="119"/>
      <c r="AF23" s="103">
        <v>4</v>
      </c>
      <c r="AG23" s="117" t="s">
        <v>4122</v>
      </c>
      <c r="AH23" s="117">
        <v>-79552</v>
      </c>
      <c r="AI23" s="103">
        <v>1</v>
      </c>
      <c r="AJ23" s="103">
        <f t="shared" si="4"/>
        <v>147</v>
      </c>
      <c r="AK23" s="117">
        <f t="shared" si="5"/>
        <v>-11694144</v>
      </c>
      <c r="AL23" s="103"/>
    </row>
    <row r="24" spans="1:38" ht="60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2" t="s">
        <v>1092</v>
      </c>
      <c r="L24" s="43">
        <f>سکه!T22</f>
        <v>91000000</v>
      </c>
      <c r="M24" s="73" t="s">
        <v>4000</v>
      </c>
      <c r="N24" s="3">
        <v>4050000</v>
      </c>
      <c r="O24" s="22" t="s">
        <v>4137</v>
      </c>
      <c r="R24" s="119"/>
      <c r="S24" s="119"/>
      <c r="T24" s="119"/>
      <c r="U24" s="119"/>
      <c r="V24" s="119"/>
      <c r="W24" s="119"/>
      <c r="X24" s="119"/>
      <c r="Y24" s="119"/>
      <c r="AF24" s="103">
        <v>5</v>
      </c>
      <c r="AG24" s="117" t="s">
        <v>1152</v>
      </c>
      <c r="AH24" s="117">
        <v>165500</v>
      </c>
      <c r="AI24" s="103">
        <v>12</v>
      </c>
      <c r="AJ24" s="103">
        <f t="shared" si="4"/>
        <v>146</v>
      </c>
      <c r="AK24" s="117">
        <f t="shared" si="5"/>
        <v>24163000</v>
      </c>
      <c r="AL24" s="103"/>
    </row>
    <row r="25" spans="1:38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1092</v>
      </c>
      <c r="N25" s="3">
        <v>106500000</v>
      </c>
      <c r="W25" s="103"/>
      <c r="X25" s="103"/>
      <c r="Y25" s="103"/>
      <c r="Z25" s="103"/>
      <c r="AA25" s="103" t="s">
        <v>4105</v>
      </c>
      <c r="AB25" s="190">
        <v>160.80000000000001</v>
      </c>
      <c r="AC25" s="103"/>
      <c r="AD25" s="103"/>
      <c r="AF25" s="103">
        <v>6</v>
      </c>
      <c r="AG25" s="117" t="s">
        <v>1184</v>
      </c>
      <c r="AH25" s="117">
        <v>-28830327</v>
      </c>
      <c r="AI25" s="103">
        <v>6</v>
      </c>
      <c r="AJ25" s="103">
        <f t="shared" si="4"/>
        <v>134</v>
      </c>
      <c r="AK25" s="117">
        <f t="shared" si="5"/>
        <v>-3863263818</v>
      </c>
      <c r="AL25" s="103"/>
    </row>
    <row r="26" spans="1:38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2"/>
      <c r="N26" s="173"/>
      <c r="Q26" s="73"/>
      <c r="R26" s="116"/>
      <c r="S26" s="116"/>
      <c r="T26" s="116"/>
      <c r="W26" s="103"/>
      <c r="X26" s="99"/>
      <c r="Y26" s="103"/>
      <c r="Z26" s="103"/>
      <c r="AA26" s="103" t="s">
        <v>4106</v>
      </c>
      <c r="AB26" s="190">
        <v>3300</v>
      </c>
      <c r="AC26" s="103"/>
      <c r="AD26" s="103"/>
      <c r="AF26" s="103">
        <v>7</v>
      </c>
      <c r="AG26" s="117" t="s">
        <v>1209</v>
      </c>
      <c r="AH26" s="117">
        <v>18500000</v>
      </c>
      <c r="AI26" s="103">
        <v>1</v>
      </c>
      <c r="AJ26" s="103">
        <f t="shared" si="4"/>
        <v>128</v>
      </c>
      <c r="AK26" s="117">
        <f t="shared" si="5"/>
        <v>2368000000</v>
      </c>
      <c r="AL26" s="103"/>
    </row>
    <row r="27" spans="1:38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6"/>
      <c r="L27" s="121"/>
      <c r="M27" s="116" t="s">
        <v>3923</v>
      </c>
      <c r="N27" s="117">
        <v>17</v>
      </c>
      <c r="O27" s="103" t="s">
        <v>940</v>
      </c>
      <c r="P27" s="103" t="s">
        <v>3965</v>
      </c>
      <c r="Q27" s="116" t="s">
        <v>267</v>
      </c>
      <c r="R27" s="116" t="s">
        <v>180</v>
      </c>
      <c r="S27" s="116" t="s">
        <v>183</v>
      </c>
      <c r="T27" s="116" t="s">
        <v>8</v>
      </c>
      <c r="W27" s="103"/>
      <c r="X27" s="56"/>
      <c r="Y27" s="103"/>
      <c r="Z27" s="103"/>
      <c r="AA27" s="103"/>
      <c r="AB27" s="103"/>
      <c r="AC27" s="103"/>
      <c r="AD27" s="103"/>
      <c r="AF27" s="103">
        <v>8</v>
      </c>
      <c r="AG27" s="117" t="s">
        <v>1218</v>
      </c>
      <c r="AH27" s="117">
        <v>-18550000</v>
      </c>
      <c r="AI27" s="103">
        <v>1</v>
      </c>
      <c r="AJ27" s="103">
        <f t="shared" si="4"/>
        <v>127</v>
      </c>
      <c r="AK27" s="117">
        <f t="shared" si="5"/>
        <v>-2355850000</v>
      </c>
      <c r="AL27" s="103"/>
    </row>
    <row r="28" spans="1:38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6" t="s">
        <v>1180</v>
      </c>
      <c r="L28" s="121">
        <v>25600</v>
      </c>
      <c r="M28" s="116" t="s">
        <v>4019</v>
      </c>
      <c r="N28" s="117">
        <f>O28*P28</f>
        <v>75511808.299999997</v>
      </c>
      <c r="O28" s="103">
        <v>23161</v>
      </c>
      <c r="P28" s="103">
        <v>3260.3</v>
      </c>
      <c r="Q28" s="38">
        <v>2458039</v>
      </c>
      <c r="R28" s="116" t="s">
        <v>3948</v>
      </c>
      <c r="S28" s="116">
        <v>53</v>
      </c>
      <c r="T28" s="73" t="s">
        <v>4046</v>
      </c>
      <c r="U28" s="117">
        <f>Q28*0.02*S28/31</f>
        <v>84049.075483870969</v>
      </c>
      <c r="V28" s="26"/>
      <c r="W28" s="103"/>
      <c r="X28" s="103"/>
      <c r="Y28" s="103"/>
      <c r="Z28" s="103"/>
      <c r="AA28" s="103"/>
      <c r="AB28" s="103"/>
      <c r="AC28" s="103"/>
      <c r="AD28" s="103"/>
      <c r="AF28" s="103">
        <v>9</v>
      </c>
      <c r="AG28" s="117" t="s">
        <v>1225</v>
      </c>
      <c r="AH28" s="117">
        <v>-64961</v>
      </c>
      <c r="AI28" s="103">
        <v>5</v>
      </c>
      <c r="AJ28" s="103">
        <f t="shared" si="4"/>
        <v>126</v>
      </c>
      <c r="AK28" s="117">
        <f t="shared" si="5"/>
        <v>-8185086</v>
      </c>
      <c r="AL28" s="103"/>
    </row>
    <row r="29" spans="1:38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6" t="s">
        <v>1181</v>
      </c>
      <c r="L29" s="121">
        <v>7637</v>
      </c>
      <c r="M29" s="32" t="s">
        <v>4147</v>
      </c>
      <c r="N29" s="117">
        <f>O29*P29</f>
        <v>18753109.800000001</v>
      </c>
      <c r="O29" s="103">
        <v>118841</v>
      </c>
      <c r="P29" s="103">
        <v>157.80000000000001</v>
      </c>
      <c r="Q29" s="38">
        <v>74302282</v>
      </c>
      <c r="R29" s="116" t="s">
        <v>4054</v>
      </c>
      <c r="S29" s="116">
        <f>S28-27</f>
        <v>26</v>
      </c>
      <c r="T29" s="116" t="s">
        <v>4107</v>
      </c>
      <c r="U29" s="117"/>
      <c r="V29" s="26"/>
      <c r="W29" s="103"/>
      <c r="X29" s="103"/>
      <c r="Y29" s="103"/>
      <c r="Z29" s="103"/>
      <c r="AA29" s="103"/>
      <c r="AB29" s="103"/>
      <c r="AC29" s="103"/>
      <c r="AD29" s="103"/>
      <c r="AF29" s="103">
        <v>10</v>
      </c>
      <c r="AG29" s="117" t="s">
        <v>1241</v>
      </c>
      <c r="AH29" s="117">
        <v>6400000</v>
      </c>
      <c r="AI29" s="103">
        <v>1</v>
      </c>
      <c r="AJ29" s="103">
        <f t="shared" si="4"/>
        <v>121</v>
      </c>
      <c r="AK29" s="117">
        <f t="shared" si="5"/>
        <v>774400000</v>
      </c>
      <c r="AL29" s="103"/>
    </row>
    <row r="30" spans="1:38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1"/>
      <c r="M30" s="116"/>
      <c r="N30" s="117"/>
      <c r="O30" s="103"/>
      <c r="P30" s="103"/>
      <c r="Q30" s="38">
        <v>1098728</v>
      </c>
      <c r="R30" s="116" t="s">
        <v>4054</v>
      </c>
      <c r="S30" s="116">
        <f>S29</f>
        <v>26</v>
      </c>
      <c r="T30" s="116" t="s">
        <v>4056</v>
      </c>
      <c r="U30" s="117"/>
      <c r="V30" s="26"/>
      <c r="W30" s="103"/>
      <c r="X30" s="103" t="s">
        <v>4141</v>
      </c>
      <c r="Y30" s="103" t="s">
        <v>4142</v>
      </c>
      <c r="Z30" s="103" t="s">
        <v>940</v>
      </c>
      <c r="AA30" s="103" t="s">
        <v>4143</v>
      </c>
      <c r="AB30" s="103"/>
      <c r="AC30" s="103"/>
      <c r="AD30" s="103"/>
      <c r="AF30" s="103">
        <v>11</v>
      </c>
      <c r="AG30" s="117" t="s">
        <v>4123</v>
      </c>
      <c r="AH30" s="117">
        <v>-170000</v>
      </c>
      <c r="AI30" s="103">
        <v>5</v>
      </c>
      <c r="AJ30" s="103">
        <f t="shared" si="4"/>
        <v>120</v>
      </c>
      <c r="AK30" s="117">
        <f t="shared" si="5"/>
        <v>-20400000</v>
      </c>
      <c r="AL30" s="103"/>
    </row>
    <row r="31" spans="1:38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3984</v>
      </c>
      <c r="L31" s="121">
        <v>-1600000</v>
      </c>
      <c r="M31" s="56"/>
      <c r="N31" s="117" t="s">
        <v>25</v>
      </c>
      <c r="O31" s="178"/>
      <c r="P31" s="69"/>
      <c r="Q31" s="177">
        <v>2996679</v>
      </c>
      <c r="R31" s="8" t="s">
        <v>4069</v>
      </c>
      <c r="S31">
        <f>S30-1</f>
        <v>25</v>
      </c>
      <c r="T31" s="8" t="s">
        <v>4068</v>
      </c>
      <c r="U31" s="117"/>
      <c r="V31" s="26"/>
      <c r="W31" s="103" t="s">
        <v>4153</v>
      </c>
      <c r="X31" s="103">
        <v>3301.8</v>
      </c>
      <c r="Y31" s="103">
        <f>X31/(1+$X$44)</f>
        <v>3281.1288880055654</v>
      </c>
      <c r="Z31" s="103">
        <v>20000</v>
      </c>
      <c r="AA31" s="117">
        <f>Y31*Z31</f>
        <v>65622577.76011131</v>
      </c>
      <c r="AB31" s="103"/>
      <c r="AC31" s="103"/>
      <c r="AD31" s="103"/>
      <c r="AF31" s="103">
        <v>12</v>
      </c>
      <c r="AG31" s="117" t="s">
        <v>1266</v>
      </c>
      <c r="AH31" s="117">
        <v>-6300000</v>
      </c>
      <c r="AI31" s="103">
        <v>1</v>
      </c>
      <c r="AJ31" s="103">
        <f t="shared" si="4"/>
        <v>115</v>
      </c>
      <c r="AK31" s="117">
        <f t="shared" si="5"/>
        <v>-724500000</v>
      </c>
      <c r="AL31" s="103"/>
    </row>
    <row r="32" spans="1:38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 t="s">
        <v>4170</v>
      </c>
      <c r="L32" s="121">
        <v>-5000000</v>
      </c>
      <c r="M32" s="103" t="s">
        <v>4163</v>
      </c>
      <c r="N32" s="117">
        <v>2084000</v>
      </c>
      <c r="P32" s="103"/>
      <c r="Q32" s="38">
        <v>793693</v>
      </c>
      <c r="R32" s="116" t="s">
        <v>4066</v>
      </c>
      <c r="S32" s="116">
        <f>S31-3</f>
        <v>22</v>
      </c>
      <c r="T32" s="116" t="s">
        <v>4067</v>
      </c>
      <c r="U32" s="117"/>
      <c r="V32" s="26"/>
      <c r="W32" s="103" t="s">
        <v>4152</v>
      </c>
      <c r="X32" s="103">
        <v>3300</v>
      </c>
      <c r="Y32" s="103">
        <f>X32/(1+$X$44)</f>
        <v>3279.3401570108317</v>
      </c>
      <c r="Z32" s="103">
        <v>2212</v>
      </c>
      <c r="AA32" s="117">
        <f t="shared" ref="AA32:AA33" si="6">Y32*Z32</f>
        <v>7253900.4273079596</v>
      </c>
      <c r="AB32" s="103"/>
      <c r="AC32" s="103"/>
      <c r="AD32" s="103"/>
      <c r="AF32" s="103">
        <v>13</v>
      </c>
      <c r="AG32" s="117" t="s">
        <v>1275</v>
      </c>
      <c r="AH32" s="117">
        <v>-52015</v>
      </c>
      <c r="AI32" s="103">
        <v>16</v>
      </c>
      <c r="AJ32" s="103">
        <f t="shared" si="4"/>
        <v>114</v>
      </c>
      <c r="AK32" s="117">
        <f t="shared" si="5"/>
        <v>-5929710</v>
      </c>
      <c r="AL32" s="103"/>
    </row>
    <row r="33" spans="1:38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116" t="s">
        <v>4162</v>
      </c>
      <c r="N33" s="117">
        <v>-20000000</v>
      </c>
      <c r="O33" s="183"/>
      <c r="P33" s="103"/>
      <c r="Q33" s="187">
        <v>2495233</v>
      </c>
      <c r="R33" s="116" t="s">
        <v>4135</v>
      </c>
      <c r="S33" s="116">
        <f>S32-16</f>
        <v>6</v>
      </c>
      <c r="T33" s="116" t="s">
        <v>4134</v>
      </c>
      <c r="W33" s="103" t="s">
        <v>752</v>
      </c>
      <c r="X33" s="103">
        <v>3290</v>
      </c>
      <c r="Y33" s="103">
        <f>X33/(1+$X$44)</f>
        <v>3269.4027625956473</v>
      </c>
      <c r="Z33" s="103">
        <v>1608</v>
      </c>
      <c r="AA33" s="117">
        <f t="shared" si="6"/>
        <v>5257199.6422538012</v>
      </c>
      <c r="AB33" s="103"/>
      <c r="AC33" s="103"/>
      <c r="AD33" s="103"/>
      <c r="AF33" s="103">
        <v>14</v>
      </c>
      <c r="AG33" s="117" t="s">
        <v>3741</v>
      </c>
      <c r="AH33" s="117">
        <v>20017400</v>
      </c>
      <c r="AI33" s="103">
        <v>0</v>
      </c>
      <c r="AJ33" s="103">
        <f t="shared" si="4"/>
        <v>98</v>
      </c>
      <c r="AK33" s="117">
        <f t="shared" si="5"/>
        <v>1961705200</v>
      </c>
      <c r="AL33" s="103"/>
    </row>
    <row r="34" spans="1:38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03"/>
      <c r="L34" s="103"/>
      <c r="M34" s="73" t="s">
        <v>4061</v>
      </c>
      <c r="N34" s="121">
        <f>-840*P28</f>
        <v>-2738652</v>
      </c>
      <c r="O34" s="103"/>
      <c r="P34" s="103"/>
      <c r="Q34" s="187">
        <v>18800146</v>
      </c>
      <c r="R34" s="116" t="s">
        <v>4148</v>
      </c>
      <c r="S34" s="116">
        <f>S33-2</f>
        <v>4</v>
      </c>
      <c r="T34" s="116" t="s">
        <v>4151</v>
      </c>
      <c r="W34" s="103"/>
      <c r="X34" s="103"/>
      <c r="Y34" s="103"/>
      <c r="Z34" s="103"/>
      <c r="AA34" s="117"/>
      <c r="AB34" s="103"/>
      <c r="AC34" s="103"/>
      <c r="AD34" s="103"/>
      <c r="AF34" s="103">
        <v>15</v>
      </c>
      <c r="AG34" s="117" t="s">
        <v>3741</v>
      </c>
      <c r="AH34" s="117">
        <v>1014466</v>
      </c>
      <c r="AI34" s="103">
        <v>12</v>
      </c>
      <c r="AJ34" s="103">
        <f t="shared" si="4"/>
        <v>98</v>
      </c>
      <c r="AK34" s="117">
        <f t="shared" si="5"/>
        <v>99417668</v>
      </c>
      <c r="AL34" s="103"/>
    </row>
    <row r="35" spans="1:38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158887206.80890375</v>
      </c>
      <c r="F35" s="3"/>
      <c r="G35" s="11"/>
      <c r="H35" s="11"/>
      <c r="K35" s="116"/>
      <c r="L35" s="121"/>
      <c r="M35" s="116"/>
      <c r="N35" s="117"/>
      <c r="O35" s="103"/>
      <c r="P35" s="103"/>
      <c r="Q35" s="187">
        <v>499973</v>
      </c>
      <c r="R35" s="186" t="s">
        <v>4171</v>
      </c>
      <c r="S35" s="186">
        <f>S34-3</f>
        <v>1</v>
      </c>
      <c r="T35" s="186" t="s">
        <v>4173</v>
      </c>
      <c r="W35" s="103"/>
      <c r="X35" s="103" t="s">
        <v>4144</v>
      </c>
      <c r="Y35" s="103" t="s">
        <v>4142</v>
      </c>
      <c r="Z35" s="103"/>
      <c r="AA35" s="103" t="s">
        <v>4146</v>
      </c>
      <c r="AB35" s="103"/>
      <c r="AC35" s="103"/>
      <c r="AD35" s="103" t="s">
        <v>4145</v>
      </c>
      <c r="AF35" s="103">
        <v>16</v>
      </c>
      <c r="AG35" s="117" t="s">
        <v>1172</v>
      </c>
      <c r="AH35" s="117">
        <v>360000</v>
      </c>
      <c r="AI35" s="103">
        <v>2</v>
      </c>
      <c r="AJ35" s="103">
        <f t="shared" si="4"/>
        <v>86</v>
      </c>
      <c r="AK35" s="117">
        <f t="shared" si="5"/>
        <v>30960000</v>
      </c>
      <c r="AL35" s="103"/>
    </row>
    <row r="36" spans="1:38" x14ac:dyDescent="0.25">
      <c r="A36" s="61">
        <v>98</v>
      </c>
      <c r="B36" s="11">
        <v>34</v>
      </c>
      <c r="C36" s="3">
        <f t="shared" ref="C36:C62" si="8">C35*$K$2</f>
        <v>4498230.5822681794</v>
      </c>
      <c r="D36" s="3">
        <f t="shared" ref="D36:D62" si="9">D35*$K$2</f>
        <v>3654042.1031301799</v>
      </c>
      <c r="E36" s="3">
        <f t="shared" si="7"/>
        <v>162909139.42421982</v>
      </c>
      <c r="F36" s="3"/>
      <c r="G36" s="11"/>
      <c r="H36" s="11"/>
      <c r="K36" s="116" t="s">
        <v>25</v>
      </c>
      <c r="L36" s="121"/>
      <c r="M36" s="174"/>
      <c r="N36" s="175"/>
      <c r="Q36" s="187">
        <v>199957</v>
      </c>
      <c r="R36" s="186" t="s">
        <v>4176</v>
      </c>
      <c r="S36" s="186">
        <f>S35-1</f>
        <v>0</v>
      </c>
      <c r="T36" s="186" t="s">
        <v>4177</v>
      </c>
      <c r="W36" s="103" t="s">
        <v>4153</v>
      </c>
      <c r="X36" s="103">
        <v>165.77038999999999</v>
      </c>
      <c r="Y36" s="103">
        <f>X36*(1+$X$45)</f>
        <v>166.58266491099997</v>
      </c>
      <c r="Z36" s="103">
        <f>AA31/Y36</f>
        <v>393934.01345314924</v>
      </c>
      <c r="AA36" s="117">
        <f>Y36*Z36</f>
        <v>65622577.76011131</v>
      </c>
      <c r="AB36" s="91">
        <f>$AB$25*Z36/(1+$X$44)</f>
        <v>62948016.857066885</v>
      </c>
      <c r="AC36" s="103">
        <f>AB36/($AB$26*(1+$X$45))</f>
        <v>18982.144117179425</v>
      </c>
      <c r="AD36" s="103">
        <f>AC36-Z31</f>
        <v>-1017.8558828205751</v>
      </c>
      <c r="AF36" s="103">
        <v>17</v>
      </c>
      <c r="AG36" s="117" t="s">
        <v>3802</v>
      </c>
      <c r="AH36" s="117">
        <v>-350000</v>
      </c>
      <c r="AI36" s="103">
        <v>0</v>
      </c>
      <c r="AJ36" s="103">
        <f t="shared" si="4"/>
        <v>84</v>
      </c>
      <c r="AK36" s="117">
        <f t="shared" si="5"/>
        <v>-29400000</v>
      </c>
      <c r="AL36" s="103"/>
    </row>
    <row r="37" spans="1:38" x14ac:dyDescent="0.25">
      <c r="A37" s="61">
        <v>98</v>
      </c>
      <c r="B37" s="11">
        <v>35</v>
      </c>
      <c r="C37" s="3">
        <f t="shared" si="8"/>
        <v>4543212.888090861</v>
      </c>
      <c r="D37" s="3">
        <f t="shared" si="9"/>
        <v>3690582.5241614818</v>
      </c>
      <c r="E37" s="3">
        <f t="shared" si="7"/>
        <v>167019952.57663357</v>
      </c>
      <c r="F37" s="3"/>
      <c r="G37" s="11"/>
      <c r="H37" s="11"/>
      <c r="K37" s="2" t="s">
        <v>598</v>
      </c>
      <c r="L37" s="3">
        <f>SUM(L16:L34)</f>
        <v>99371305</v>
      </c>
      <c r="M37" s="2"/>
      <c r="N37" s="3">
        <f>SUM(N16:N35)</f>
        <v>178093828.5</v>
      </c>
      <c r="Q37" s="187"/>
      <c r="R37" s="186"/>
      <c r="S37" s="186"/>
      <c r="T37" s="186"/>
      <c r="W37" s="103" t="s">
        <v>4152</v>
      </c>
      <c r="X37" s="103">
        <v>162.4</v>
      </c>
      <c r="Y37" s="103">
        <f t="shared" ref="Y37:Y38" si="10">X37*(1+$X$45)</f>
        <v>163.19575999999998</v>
      </c>
      <c r="Z37" s="103">
        <v>44487</v>
      </c>
      <c r="AA37" s="117">
        <f t="shared" ref="AA37:AA38" si="11">Y37*Z37</f>
        <v>7260089.7751199994</v>
      </c>
      <c r="AB37" s="91">
        <f>$AB$25*Z37/(1+$X$44)</f>
        <v>7108724.6348007564</v>
      </c>
      <c r="AC37" s="103">
        <f>AB37/($AB$26*(1+$X$45))</f>
        <v>2143.655070397705</v>
      </c>
      <c r="AD37" s="103">
        <f>AC37-Z32</f>
        <v>-68.344929602294997</v>
      </c>
      <c r="AF37" s="103">
        <v>18</v>
      </c>
      <c r="AG37" s="117" t="s">
        <v>3802</v>
      </c>
      <c r="AH37" s="117">
        <v>1000</v>
      </c>
      <c r="AI37" s="103">
        <v>1</v>
      </c>
      <c r="AJ37" s="103">
        <f t="shared" si="4"/>
        <v>84</v>
      </c>
      <c r="AK37" s="117">
        <f t="shared" si="5"/>
        <v>84000</v>
      </c>
      <c r="AL37" s="103"/>
    </row>
    <row r="38" spans="1:38" x14ac:dyDescent="0.25">
      <c r="A38" s="61">
        <v>98</v>
      </c>
      <c r="B38" s="11">
        <v>36</v>
      </c>
      <c r="C38" s="3">
        <f t="shared" si="8"/>
        <v>4588645.0169717697</v>
      </c>
      <c r="D38" s="3">
        <f t="shared" si="9"/>
        <v>3727488.3494030968</v>
      </c>
      <c r="E38" s="46">
        <f t="shared" si="7"/>
        <v>171221508.29573494</v>
      </c>
      <c r="F38" s="3"/>
      <c r="G38" s="11"/>
      <c r="H38" s="11"/>
      <c r="K38" s="2" t="s">
        <v>599</v>
      </c>
      <c r="L38" s="3">
        <f>L16+L17+L20+L29+L28</f>
        <v>266439</v>
      </c>
      <c r="M38" s="2"/>
      <c r="N38" s="3">
        <f>N16+N17+N22</f>
        <v>-6604151</v>
      </c>
      <c r="O38" t="s">
        <v>25</v>
      </c>
      <c r="Q38" s="186"/>
      <c r="R38" s="186"/>
      <c r="S38" s="186"/>
      <c r="T38" s="186"/>
      <c r="U38" s="100"/>
      <c r="W38" s="103" t="s">
        <v>752</v>
      </c>
      <c r="X38" s="103">
        <v>162.4</v>
      </c>
      <c r="Y38" s="103">
        <f t="shared" si="10"/>
        <v>163.19575999999998</v>
      </c>
      <c r="Z38" s="103">
        <v>32243</v>
      </c>
      <c r="AA38" s="117">
        <f t="shared" si="11"/>
        <v>5261920.8896799991</v>
      </c>
      <c r="AB38" s="91">
        <f>$AB$25*Z38/(1+$X$44)</f>
        <v>5152215.4427109221</v>
      </c>
      <c r="AC38" s="103">
        <f>AB38/($AB$26*(1+$X$45))</f>
        <v>1553.6644510718456</v>
      </c>
      <c r="AD38" s="103">
        <f>AC38-Z33</f>
        <v>-54.335548928154367</v>
      </c>
      <c r="AF38" s="103">
        <v>19</v>
      </c>
      <c r="AG38" s="117" t="s">
        <v>3806</v>
      </c>
      <c r="AH38" s="117">
        <v>33610000</v>
      </c>
      <c r="AI38" s="103">
        <v>4</v>
      </c>
      <c r="AJ38" s="103">
        <f t="shared" si="4"/>
        <v>83</v>
      </c>
      <c r="AK38" s="117">
        <f t="shared" si="5"/>
        <v>2789630000</v>
      </c>
      <c r="AL38" s="103"/>
    </row>
    <row r="39" spans="1:38" x14ac:dyDescent="0.25">
      <c r="A39" s="62">
        <v>99</v>
      </c>
      <c r="B39" s="11">
        <v>37</v>
      </c>
      <c r="C39" s="44">
        <f t="shared" si="8"/>
        <v>4634531.4671414876</v>
      </c>
      <c r="D39" s="3">
        <f t="shared" si="9"/>
        <v>3764763.232897128</v>
      </c>
      <c r="E39" s="3">
        <f t="shared" si="7"/>
        <v>175515706.695894</v>
      </c>
      <c r="F39" s="3"/>
      <c r="G39" s="11"/>
      <c r="H39" s="11"/>
      <c r="K39" s="56" t="s">
        <v>716</v>
      </c>
      <c r="L39" s="1">
        <f>L37+N7</f>
        <v>169371305</v>
      </c>
      <c r="M39" s="3"/>
      <c r="N39" s="2"/>
      <c r="Q39" s="117">
        <f>SUM(N28:N30)-SUM(Q28:Q36)</f>
        <v>-9379811.900000006</v>
      </c>
      <c r="R39" s="116"/>
      <c r="S39" s="116"/>
      <c r="T39" s="116"/>
      <c r="W39" s="103"/>
      <c r="X39" s="103"/>
      <c r="Y39" s="103"/>
      <c r="Z39" s="103"/>
      <c r="AA39" s="117"/>
      <c r="AB39" s="91"/>
      <c r="AC39" s="103"/>
      <c r="AD39" s="103"/>
      <c r="AF39" s="103">
        <v>20</v>
      </c>
      <c r="AG39" s="117" t="s">
        <v>4124</v>
      </c>
      <c r="AH39" s="117">
        <v>-15600000</v>
      </c>
      <c r="AI39" s="103">
        <v>3</v>
      </c>
      <c r="AJ39" s="103">
        <f t="shared" si="4"/>
        <v>79</v>
      </c>
      <c r="AK39" s="117">
        <f t="shared" si="5"/>
        <v>-1232400000</v>
      </c>
      <c r="AL39" s="103"/>
    </row>
    <row r="40" spans="1:38" x14ac:dyDescent="0.25">
      <c r="A40" s="62">
        <v>99</v>
      </c>
      <c r="B40" s="11">
        <v>38</v>
      </c>
      <c r="C40" s="44">
        <f t="shared" si="8"/>
        <v>4680876.7818129025</v>
      </c>
      <c r="D40" s="3">
        <f t="shared" si="9"/>
        <v>3802410.8652260993</v>
      </c>
      <c r="E40" s="3">
        <f t="shared" si="7"/>
        <v>179904486.74639872</v>
      </c>
      <c r="F40" s="3"/>
      <c r="G40" s="11"/>
      <c r="H40" s="11"/>
      <c r="M40" t="s">
        <v>4138</v>
      </c>
      <c r="U40" t="s">
        <v>4024</v>
      </c>
      <c r="AF40" s="103">
        <v>21</v>
      </c>
      <c r="AG40" s="117" t="s">
        <v>3820</v>
      </c>
      <c r="AH40" s="117">
        <v>7500000</v>
      </c>
      <c r="AI40" s="103">
        <v>4</v>
      </c>
      <c r="AJ40" s="103">
        <f t="shared" si="4"/>
        <v>76</v>
      </c>
      <c r="AK40" s="117">
        <f t="shared" si="5"/>
        <v>570000000</v>
      </c>
      <c r="AL40" s="103"/>
    </row>
    <row r="41" spans="1:38" x14ac:dyDescent="0.25">
      <c r="A41" s="62">
        <v>99</v>
      </c>
      <c r="B41" s="11">
        <v>39</v>
      </c>
      <c r="C41" s="44">
        <f t="shared" si="8"/>
        <v>4727685.5496310312</v>
      </c>
      <c r="D41" s="3">
        <f t="shared" si="9"/>
        <v>3840434.9738783604</v>
      </c>
      <c r="E41" s="3">
        <f t="shared" si="7"/>
        <v>184389827.05707937</v>
      </c>
      <c r="F41" s="3"/>
      <c r="G41" s="11"/>
      <c r="H41" s="11"/>
      <c r="M41" s="25" t="s">
        <v>4164</v>
      </c>
      <c r="O41" s="22"/>
      <c r="U41" t="s">
        <v>4025</v>
      </c>
      <c r="Z41">
        <f>Z36+Z37+Z38</f>
        <v>470664.01345314924</v>
      </c>
      <c r="AA41">
        <f>Z41*P29</f>
        <v>74270781.322906956</v>
      </c>
      <c r="AF41" s="103">
        <v>22</v>
      </c>
      <c r="AG41" s="117" t="s">
        <v>4125</v>
      </c>
      <c r="AH41" s="117">
        <v>-98000</v>
      </c>
      <c r="AI41" s="103">
        <v>1</v>
      </c>
      <c r="AJ41" s="103">
        <f t="shared" si="4"/>
        <v>72</v>
      </c>
      <c r="AK41" s="117">
        <f t="shared" si="5"/>
        <v>-7056000</v>
      </c>
      <c r="AL41" s="103"/>
    </row>
    <row r="42" spans="1:38" x14ac:dyDescent="0.25">
      <c r="A42" s="62">
        <v>99</v>
      </c>
      <c r="B42" s="11">
        <v>40</v>
      </c>
      <c r="C42" s="49">
        <f t="shared" si="8"/>
        <v>4774962.4051273419</v>
      </c>
      <c r="D42" s="3">
        <f t="shared" si="9"/>
        <v>3878839.323617144</v>
      </c>
      <c r="E42" s="3">
        <f t="shared" si="7"/>
        <v>188973746.67973119</v>
      </c>
      <c r="F42" s="3"/>
      <c r="G42" s="11"/>
      <c r="H42" s="11"/>
      <c r="M42" s="25" t="s">
        <v>4166</v>
      </c>
      <c r="Q42" t="s">
        <v>25</v>
      </c>
      <c r="U42" t="s">
        <v>4026</v>
      </c>
      <c r="AA42" t="s">
        <v>25</v>
      </c>
      <c r="AB42" t="s">
        <v>25</v>
      </c>
      <c r="AF42" s="103">
        <v>23</v>
      </c>
      <c r="AG42" s="117" t="s">
        <v>4119</v>
      </c>
      <c r="AH42" s="117">
        <v>-26000000</v>
      </c>
      <c r="AI42" s="103">
        <v>0</v>
      </c>
      <c r="AJ42" s="103">
        <f t="shared" si="4"/>
        <v>71</v>
      </c>
      <c r="AK42" s="117">
        <f t="shared" si="5"/>
        <v>-1846000000</v>
      </c>
      <c r="AL42" s="103"/>
    </row>
    <row r="43" spans="1:38" x14ac:dyDescent="0.25">
      <c r="A43" s="62">
        <v>99</v>
      </c>
      <c r="B43" s="11">
        <v>41</v>
      </c>
      <c r="C43" s="49">
        <f t="shared" si="8"/>
        <v>4822712.0291786157</v>
      </c>
      <c r="D43" s="3">
        <f t="shared" si="9"/>
        <v>3917627.7168533155</v>
      </c>
      <c r="E43" s="3">
        <f t="shared" si="7"/>
        <v>193658305.9256511</v>
      </c>
      <c r="F43" s="3"/>
      <c r="G43" s="11"/>
      <c r="H43" s="11"/>
      <c r="M43" s="26" t="s">
        <v>25</v>
      </c>
      <c r="R43" t="s">
        <v>25</v>
      </c>
      <c r="T43" t="s">
        <v>25</v>
      </c>
      <c r="U43" t="s">
        <v>4027</v>
      </c>
      <c r="AB43" t="s">
        <v>25</v>
      </c>
      <c r="AD43" s="100" t="s">
        <v>25</v>
      </c>
      <c r="AF43" s="103">
        <v>24</v>
      </c>
      <c r="AG43" s="117" t="s">
        <v>4119</v>
      </c>
      <c r="AH43" s="117">
        <v>25000000</v>
      </c>
      <c r="AI43" s="103">
        <v>1</v>
      </c>
      <c r="AJ43" s="103">
        <f t="shared" si="4"/>
        <v>71</v>
      </c>
      <c r="AK43" s="117">
        <f t="shared" si="5"/>
        <v>1775000000</v>
      </c>
      <c r="AL43" s="103"/>
    </row>
    <row r="44" spans="1:38" x14ac:dyDescent="0.25">
      <c r="A44" s="62">
        <v>99</v>
      </c>
      <c r="B44" s="11">
        <v>42</v>
      </c>
      <c r="C44" s="49">
        <f t="shared" si="8"/>
        <v>4870939.1494704019</v>
      </c>
      <c r="D44" s="3">
        <f t="shared" si="9"/>
        <v>3956803.9940218488</v>
      </c>
      <c r="E44" s="3">
        <f t="shared" si="7"/>
        <v>198445607.19961265</v>
      </c>
      <c r="F44" s="3"/>
      <c r="G44" s="11"/>
      <c r="H44" s="11"/>
      <c r="K44" s="3"/>
      <c r="L44" s="11" t="s">
        <v>304</v>
      </c>
      <c r="M44" s="100"/>
      <c r="N44" s="100"/>
      <c r="Q44" t="s">
        <v>25</v>
      </c>
      <c r="R44" t="s">
        <v>25</v>
      </c>
      <c r="U44" s="9" t="s">
        <v>4028</v>
      </c>
      <c r="W44" t="s">
        <v>952</v>
      </c>
      <c r="X44">
        <v>6.3E-3</v>
      </c>
      <c r="AA44" t="s">
        <v>25</v>
      </c>
      <c r="AF44" s="103">
        <v>25</v>
      </c>
      <c r="AG44" s="117" t="s">
        <v>4120</v>
      </c>
      <c r="AH44" s="117">
        <v>110000</v>
      </c>
      <c r="AI44" s="103">
        <v>1</v>
      </c>
      <c r="AJ44" s="103">
        <f t="shared" si="4"/>
        <v>70</v>
      </c>
      <c r="AK44" s="117">
        <f t="shared" si="5"/>
        <v>7700000</v>
      </c>
      <c r="AL44" s="103"/>
    </row>
    <row r="45" spans="1:38" x14ac:dyDescent="0.25">
      <c r="A45" s="62">
        <v>99</v>
      </c>
      <c r="B45" s="11">
        <v>43</v>
      </c>
      <c r="C45" s="50">
        <f t="shared" si="8"/>
        <v>4919648.5409651063</v>
      </c>
      <c r="D45" s="3">
        <f t="shared" si="9"/>
        <v>3996372.0339620672</v>
      </c>
      <c r="E45" s="3">
        <f t="shared" si="7"/>
        <v>203337795.85060793</v>
      </c>
      <c r="F45" s="3"/>
      <c r="G45" s="11"/>
      <c r="H45" s="11"/>
      <c r="K45" s="1" t="s">
        <v>305</v>
      </c>
      <c r="L45" s="1">
        <v>70000</v>
      </c>
      <c r="M45" s="100"/>
      <c r="N45" s="100" t="s">
        <v>25</v>
      </c>
      <c r="Q45" t="s">
        <v>25</v>
      </c>
      <c r="S45" t="s">
        <v>25</v>
      </c>
      <c r="U45" t="s">
        <v>4029</v>
      </c>
      <c r="W45" t="s">
        <v>1022</v>
      </c>
      <c r="X45">
        <v>4.8999999999999998E-3</v>
      </c>
      <c r="AB45" t="s">
        <v>25</v>
      </c>
      <c r="AC45" t="s">
        <v>25</v>
      </c>
      <c r="AF45" s="103">
        <v>26</v>
      </c>
      <c r="AG45" s="117" t="s">
        <v>3835</v>
      </c>
      <c r="AH45" s="117">
        <v>380000</v>
      </c>
      <c r="AI45" s="103">
        <v>7</v>
      </c>
      <c r="AJ45" s="103">
        <f t="shared" si="4"/>
        <v>69</v>
      </c>
      <c r="AK45" s="117">
        <f t="shared" si="5"/>
        <v>26220000</v>
      </c>
      <c r="AL45" s="103"/>
    </row>
    <row r="46" spans="1:38" x14ac:dyDescent="0.25">
      <c r="A46" s="62">
        <v>99</v>
      </c>
      <c r="B46" s="11">
        <v>44</v>
      </c>
      <c r="C46" s="50">
        <f t="shared" si="8"/>
        <v>4968845.0263747573</v>
      </c>
      <c r="D46" s="3">
        <f t="shared" si="9"/>
        <v>4036335.7543016877</v>
      </c>
      <c r="E46" s="3">
        <f t="shared" si="7"/>
        <v>208337061.03969315</v>
      </c>
      <c r="F46" s="3"/>
      <c r="G46" s="11"/>
      <c r="H46" s="11"/>
      <c r="K46" s="1" t="s">
        <v>321</v>
      </c>
      <c r="L46" s="1">
        <v>100000</v>
      </c>
      <c r="M46" s="100"/>
      <c r="N46" s="100"/>
      <c r="U46" s="182" t="s">
        <v>4030</v>
      </c>
      <c r="W46" t="s">
        <v>6</v>
      </c>
      <c r="X46">
        <f>X44+X45</f>
        <v>1.12E-2</v>
      </c>
      <c r="AF46" s="103">
        <v>27</v>
      </c>
      <c r="AG46" s="117" t="s">
        <v>3921</v>
      </c>
      <c r="AH46" s="117">
        <v>450000</v>
      </c>
      <c r="AI46" s="103">
        <v>6</v>
      </c>
      <c r="AJ46" s="103">
        <f t="shared" si="4"/>
        <v>62</v>
      </c>
      <c r="AK46" s="117">
        <f t="shared" si="5"/>
        <v>27900000</v>
      </c>
      <c r="AL46" s="103"/>
    </row>
    <row r="47" spans="1:38" x14ac:dyDescent="0.25">
      <c r="A47" s="62">
        <v>99</v>
      </c>
      <c r="B47" s="11">
        <v>45</v>
      </c>
      <c r="C47" s="50">
        <f t="shared" si="8"/>
        <v>5018533.4766385052</v>
      </c>
      <c r="D47" s="3">
        <f t="shared" si="9"/>
        <v>4076699.1118447045</v>
      </c>
      <c r="E47" s="3">
        <f t="shared" si="7"/>
        <v>213445636.6252808</v>
      </c>
      <c r="F47" s="3"/>
      <c r="G47" s="11"/>
      <c r="H47" s="11"/>
      <c r="K47" s="1" t="s">
        <v>306</v>
      </c>
      <c r="L47" s="1">
        <v>80000</v>
      </c>
      <c r="M47" s="100"/>
      <c r="N47" s="100"/>
      <c r="U47" t="s">
        <v>4031</v>
      </c>
      <c r="AF47" s="103">
        <v>28</v>
      </c>
      <c r="AG47" s="117" t="s">
        <v>3947</v>
      </c>
      <c r="AH47" s="117">
        <v>2800000</v>
      </c>
      <c r="AI47" s="103">
        <v>1</v>
      </c>
      <c r="AJ47" s="103">
        <f t="shared" si="4"/>
        <v>56</v>
      </c>
      <c r="AK47" s="117">
        <f t="shared" si="5"/>
        <v>156800000</v>
      </c>
      <c r="AL47" s="103"/>
    </row>
    <row r="48" spans="1:38" x14ac:dyDescent="0.25">
      <c r="A48" s="64">
        <v>99</v>
      </c>
      <c r="B48" s="64">
        <v>46</v>
      </c>
      <c r="C48" s="65">
        <f t="shared" si="8"/>
        <v>5068718.8114048904</v>
      </c>
      <c r="D48" s="65">
        <f t="shared" si="9"/>
        <v>4117466.1029631514</v>
      </c>
      <c r="E48" s="65">
        <f t="shared" si="7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100"/>
      <c r="N48" s="100"/>
      <c r="Q48" s="116" t="s">
        <v>1139</v>
      </c>
      <c r="R48" s="116"/>
      <c r="U48" t="s">
        <v>4032</v>
      </c>
      <c r="AF48" s="103">
        <v>29</v>
      </c>
      <c r="AG48" s="117" t="s">
        <v>3948</v>
      </c>
      <c r="AH48" s="117">
        <v>-1500000</v>
      </c>
      <c r="AI48" s="103">
        <v>0</v>
      </c>
      <c r="AJ48" s="103">
        <f t="shared" si="4"/>
        <v>55</v>
      </c>
      <c r="AK48" s="117">
        <f t="shared" si="5"/>
        <v>-82500000</v>
      </c>
      <c r="AL48" s="103"/>
    </row>
    <row r="49" spans="1:38" x14ac:dyDescent="0.25">
      <c r="A49" s="62">
        <v>99</v>
      </c>
      <c r="B49" s="11">
        <v>47</v>
      </c>
      <c r="C49" s="3">
        <f t="shared" si="8"/>
        <v>5119405.9995189393</v>
      </c>
      <c r="D49" s="3">
        <f t="shared" si="9"/>
        <v>4158640.7639927831</v>
      </c>
      <c r="E49" s="3">
        <f t="shared" si="7"/>
        <v>223999883.34307885</v>
      </c>
      <c r="F49" s="3"/>
      <c r="G49" s="11"/>
      <c r="H49" s="11"/>
      <c r="K49" s="31" t="s">
        <v>308</v>
      </c>
      <c r="L49" s="1">
        <v>300000</v>
      </c>
      <c r="M49" s="100"/>
      <c r="N49" s="100"/>
      <c r="Q49" s="116" t="s">
        <v>267</v>
      </c>
      <c r="R49" s="116" t="s">
        <v>1154</v>
      </c>
      <c r="U49" t="s">
        <v>4033</v>
      </c>
      <c r="AF49" s="103">
        <v>30</v>
      </c>
      <c r="AG49" s="117" t="s">
        <v>3948</v>
      </c>
      <c r="AH49" s="117">
        <v>3050000</v>
      </c>
      <c r="AI49" s="103">
        <v>3</v>
      </c>
      <c r="AJ49" s="103">
        <f>AJ50+AI49</f>
        <v>55</v>
      </c>
      <c r="AK49" s="117">
        <f t="shared" si="5"/>
        <v>167750000</v>
      </c>
      <c r="AL49" s="103"/>
    </row>
    <row r="50" spans="1:38" x14ac:dyDescent="0.25">
      <c r="A50" s="62">
        <v>99</v>
      </c>
      <c r="B50" s="11">
        <v>48</v>
      </c>
      <c r="C50" s="51">
        <f t="shared" si="8"/>
        <v>5170600.0595141286</v>
      </c>
      <c r="D50" s="51">
        <f t="shared" si="9"/>
        <v>4200227.1716327108</v>
      </c>
      <c r="E50" s="52">
        <f t="shared" si="7"/>
        <v>229450253.89782187</v>
      </c>
      <c r="F50" s="51"/>
      <c r="G50" s="11"/>
      <c r="H50" s="11"/>
      <c r="K50" s="31" t="s">
        <v>309</v>
      </c>
      <c r="L50" s="1">
        <v>100000</v>
      </c>
      <c r="M50" s="100"/>
      <c r="N50" s="100"/>
      <c r="Q50" s="14">
        <f>L20</f>
        <v>200000</v>
      </c>
      <c r="R50" s="116" t="s">
        <v>1155</v>
      </c>
      <c r="U50" t="s">
        <v>4034</v>
      </c>
      <c r="AF50" s="103">
        <v>31</v>
      </c>
      <c r="AG50" s="117" t="s">
        <v>3973</v>
      </c>
      <c r="AH50" s="117">
        <v>-8299612</v>
      </c>
      <c r="AI50" s="103">
        <v>2</v>
      </c>
      <c r="AJ50" s="103">
        <f t="shared" si="4"/>
        <v>52</v>
      </c>
      <c r="AK50" s="117">
        <f t="shared" si="5"/>
        <v>-431579824</v>
      </c>
      <c r="AL50" s="103"/>
    </row>
    <row r="51" spans="1:38" x14ac:dyDescent="0.25">
      <c r="A51" s="63">
        <v>1400</v>
      </c>
      <c r="B51" s="11">
        <v>49</v>
      </c>
      <c r="C51" s="44">
        <f t="shared" si="8"/>
        <v>5222306.0601092698</v>
      </c>
      <c r="D51" s="3">
        <f t="shared" si="9"/>
        <v>4242229.4433490383</v>
      </c>
      <c r="E51" s="3">
        <f t="shared" si="7"/>
        <v>235019335.59253854</v>
      </c>
      <c r="F51" s="3"/>
      <c r="G51" s="11"/>
      <c r="H51" s="11"/>
      <c r="K51" s="31" t="s">
        <v>310</v>
      </c>
      <c r="L51" s="1">
        <v>200000</v>
      </c>
      <c r="M51" s="100"/>
      <c r="N51" s="100"/>
      <c r="Q51" s="14">
        <v>3300000</v>
      </c>
      <c r="R51" s="116" t="s">
        <v>1156</v>
      </c>
      <c r="U51" t="s">
        <v>4058</v>
      </c>
      <c r="AF51" s="103">
        <v>32</v>
      </c>
      <c r="AG51" s="117" t="s">
        <v>3967</v>
      </c>
      <c r="AH51" s="117">
        <v>5000000</v>
      </c>
      <c r="AI51" s="103">
        <v>14</v>
      </c>
      <c r="AJ51" s="103">
        <f t="shared" si="4"/>
        <v>50</v>
      </c>
      <c r="AK51" s="117">
        <f t="shared" si="5"/>
        <v>250000000</v>
      </c>
      <c r="AL51" s="103"/>
    </row>
    <row r="52" spans="1:38" x14ac:dyDescent="0.25">
      <c r="A52" s="63">
        <v>1400</v>
      </c>
      <c r="B52" s="11">
        <v>50</v>
      </c>
      <c r="C52" s="44">
        <f t="shared" si="8"/>
        <v>5274529.1207103627</v>
      </c>
      <c r="D52" s="3">
        <f t="shared" si="9"/>
        <v>4284651.7377825286</v>
      </c>
      <c r="E52" s="3">
        <f t="shared" si="7"/>
        <v>240709599.68731713</v>
      </c>
      <c r="F52" s="3"/>
      <c r="G52" s="11"/>
      <c r="H52" s="11"/>
      <c r="K52" s="18" t="s">
        <v>311</v>
      </c>
      <c r="L52" s="18">
        <v>300000</v>
      </c>
      <c r="M52" s="100"/>
      <c r="N52" s="100"/>
      <c r="Q52" s="14">
        <f>سارا!C207</f>
        <v>7835443</v>
      </c>
      <c r="R52" s="116" t="s">
        <v>1157</v>
      </c>
      <c r="AF52" s="103">
        <v>33</v>
      </c>
      <c r="AG52" s="117" t="s">
        <v>993</v>
      </c>
      <c r="AH52" s="117">
        <v>-90000</v>
      </c>
      <c r="AI52" s="103">
        <v>1</v>
      </c>
      <c r="AJ52" s="103">
        <f t="shared" si="4"/>
        <v>36</v>
      </c>
      <c r="AK52" s="117">
        <f t="shared" si="5"/>
        <v>-3240000</v>
      </c>
      <c r="AL52" s="103"/>
    </row>
    <row r="53" spans="1:38" x14ac:dyDescent="0.25">
      <c r="A53" s="63">
        <v>1400</v>
      </c>
      <c r="B53" s="11">
        <v>51</v>
      </c>
      <c r="C53" s="44">
        <f t="shared" si="8"/>
        <v>5327274.4119174667</v>
      </c>
      <c r="D53" s="3">
        <f t="shared" si="9"/>
        <v>4327498.2551603541</v>
      </c>
      <c r="E53" s="3">
        <f t="shared" si="7"/>
        <v>246523567.83782059</v>
      </c>
      <c r="F53" s="3"/>
      <c r="G53" s="11"/>
      <c r="H53" s="11"/>
      <c r="K53" s="32" t="s">
        <v>312</v>
      </c>
      <c r="L53" s="1">
        <v>200000</v>
      </c>
      <c r="M53" s="100"/>
      <c r="N53" s="100"/>
      <c r="Q53" s="14">
        <f>N19</f>
        <v>5242562.4000000004</v>
      </c>
      <c r="R53" s="56" t="s">
        <v>3750</v>
      </c>
      <c r="AF53" s="103">
        <v>34</v>
      </c>
      <c r="AG53" s="117" t="s">
        <v>4121</v>
      </c>
      <c r="AH53" s="117">
        <v>5600000</v>
      </c>
      <c r="AI53" s="103">
        <v>4</v>
      </c>
      <c r="AJ53" s="103">
        <f t="shared" si="4"/>
        <v>35</v>
      </c>
      <c r="AK53" s="117">
        <f t="shared" si="5"/>
        <v>196000000</v>
      </c>
      <c r="AL53" s="103"/>
    </row>
    <row r="54" spans="1:38" x14ac:dyDescent="0.25">
      <c r="A54" s="63">
        <v>1400</v>
      </c>
      <c r="B54" s="11">
        <v>52</v>
      </c>
      <c r="C54" s="49">
        <f t="shared" si="8"/>
        <v>5380547.1560366414</v>
      </c>
      <c r="D54" s="3">
        <f t="shared" si="9"/>
        <v>4370773.2377119577</v>
      </c>
      <c r="E54" s="3">
        <f t="shared" si="7"/>
        <v>252463813.11290169</v>
      </c>
      <c r="F54" s="3"/>
      <c r="G54" s="11"/>
      <c r="H54" s="11"/>
      <c r="K54" s="32" t="s">
        <v>313</v>
      </c>
      <c r="L54" s="1">
        <v>20000</v>
      </c>
      <c r="M54" s="100"/>
      <c r="N54" s="100"/>
      <c r="Q54" s="14">
        <v>2700000</v>
      </c>
      <c r="R54" s="56" t="s">
        <v>1158</v>
      </c>
      <c r="AF54" s="103">
        <v>35</v>
      </c>
      <c r="AG54" s="117" t="s">
        <v>4037</v>
      </c>
      <c r="AH54" s="117">
        <v>750000</v>
      </c>
      <c r="AI54" s="103">
        <v>2</v>
      </c>
      <c r="AJ54" s="103">
        <f t="shared" si="4"/>
        <v>31</v>
      </c>
      <c r="AK54" s="117">
        <f t="shared" si="5"/>
        <v>23250000</v>
      </c>
      <c r="AL54" s="103"/>
    </row>
    <row r="55" spans="1:38" x14ac:dyDescent="0.25">
      <c r="A55" s="63">
        <v>1400</v>
      </c>
      <c r="B55" s="11">
        <v>53</v>
      </c>
      <c r="C55" s="49">
        <f t="shared" si="8"/>
        <v>5434352.6275970079</v>
      </c>
      <c r="D55" s="3">
        <f t="shared" si="9"/>
        <v>4414480.970089077</v>
      </c>
      <c r="E55" s="3">
        <f t="shared" si="7"/>
        <v>258532961.03266767</v>
      </c>
      <c r="F55" s="3"/>
      <c r="G55" s="11"/>
      <c r="H55" s="11"/>
      <c r="K55" s="32" t="s">
        <v>315</v>
      </c>
      <c r="L55" s="1">
        <v>50000</v>
      </c>
      <c r="M55" s="100"/>
      <c r="N55" s="100"/>
      <c r="Q55" s="121">
        <f>SUM(N28:N32)</f>
        <v>96348918.099999994</v>
      </c>
      <c r="R55" s="56" t="s">
        <v>4139</v>
      </c>
      <c r="AF55" s="189">
        <v>36</v>
      </c>
      <c r="AG55" s="188" t="s">
        <v>4048</v>
      </c>
      <c r="AH55" s="188">
        <v>-4242000</v>
      </c>
      <c r="AI55" s="189">
        <v>2</v>
      </c>
      <c r="AJ55" s="189">
        <f t="shared" si="4"/>
        <v>29</v>
      </c>
      <c r="AK55" s="188">
        <f t="shared" si="5"/>
        <v>-123018000</v>
      </c>
      <c r="AL55" s="189" t="s">
        <v>4130</v>
      </c>
    </row>
    <row r="56" spans="1:38" x14ac:dyDescent="0.25">
      <c r="A56" s="63">
        <v>1400</v>
      </c>
      <c r="B56" s="11">
        <v>54</v>
      </c>
      <c r="C56" s="49">
        <f t="shared" si="8"/>
        <v>5488696.1538729779</v>
      </c>
      <c r="D56" s="3">
        <f t="shared" si="9"/>
        <v>4458625.7797899675</v>
      </c>
      <c r="E56" s="3">
        <f t="shared" si="7"/>
        <v>264733690.62740406</v>
      </c>
      <c r="F56" s="3"/>
      <c r="G56" s="11"/>
      <c r="H56" s="11"/>
      <c r="K56" s="32" t="s">
        <v>316</v>
      </c>
      <c r="L56" s="1">
        <v>90000</v>
      </c>
      <c r="M56" s="100"/>
      <c r="N56" s="100"/>
      <c r="Q56" s="121">
        <f>N24</f>
        <v>4050000</v>
      </c>
      <c r="R56" s="56" t="s">
        <v>4140</v>
      </c>
      <c r="AF56" s="103">
        <v>37</v>
      </c>
      <c r="AG56" s="117" t="s">
        <v>4048</v>
      </c>
      <c r="AH56" s="117">
        <v>4100000</v>
      </c>
      <c r="AI56" s="103">
        <v>0</v>
      </c>
      <c r="AJ56" s="103">
        <f t="shared" si="4"/>
        <v>27</v>
      </c>
      <c r="AK56" s="117">
        <f t="shared" si="5"/>
        <v>110700000</v>
      </c>
      <c r="AL56" s="103"/>
    </row>
    <row r="57" spans="1:38" x14ac:dyDescent="0.25">
      <c r="A57" s="63">
        <v>1400</v>
      </c>
      <c r="B57" s="11">
        <v>55</v>
      </c>
      <c r="C57" s="50">
        <f t="shared" si="8"/>
        <v>5543583.1154117081</v>
      </c>
      <c r="D57" s="3">
        <f t="shared" si="9"/>
        <v>4503212.0375878671</v>
      </c>
      <c r="E57" s="3">
        <f t="shared" si="7"/>
        <v>271068735.51777595</v>
      </c>
      <c r="F57" s="3"/>
      <c r="G57" s="11"/>
      <c r="H57" s="11"/>
      <c r="K57" s="32" t="s">
        <v>317</v>
      </c>
      <c r="L57" s="1">
        <v>50000</v>
      </c>
      <c r="M57" s="100"/>
      <c r="N57" s="100"/>
      <c r="Q57" s="121"/>
      <c r="R57" s="56"/>
      <c r="AF57" s="103">
        <v>38</v>
      </c>
      <c r="AG57" s="117" t="s">
        <v>4054</v>
      </c>
      <c r="AH57" s="117">
        <v>4100000</v>
      </c>
      <c r="AI57" s="103">
        <v>1</v>
      </c>
      <c r="AJ57" s="103">
        <f t="shared" si="4"/>
        <v>27</v>
      </c>
      <c r="AK57" s="117">
        <f t="shared" si="5"/>
        <v>110700000</v>
      </c>
      <c r="AL57" s="103"/>
    </row>
    <row r="58" spans="1:38" x14ac:dyDescent="0.25">
      <c r="A58" s="63">
        <v>1400</v>
      </c>
      <c r="B58" s="11">
        <v>56</v>
      </c>
      <c r="C58" s="50">
        <f t="shared" si="8"/>
        <v>5599018.9465658255</v>
      </c>
      <c r="D58" s="3">
        <f t="shared" si="9"/>
        <v>4548244.1579637462</v>
      </c>
      <c r="E58" s="3">
        <f t="shared" si="7"/>
        <v>277540885.01673353</v>
      </c>
      <c r="F58" s="3"/>
      <c r="G58" s="11"/>
      <c r="H58" s="11"/>
      <c r="K58" s="32" t="s">
        <v>327</v>
      </c>
      <c r="L58" s="1">
        <v>150000</v>
      </c>
      <c r="M58" s="100"/>
      <c r="N58" s="100"/>
      <c r="Q58" s="14">
        <v>2500000</v>
      </c>
      <c r="R58" s="56" t="s">
        <v>1150</v>
      </c>
      <c r="AF58" s="103">
        <v>39</v>
      </c>
      <c r="AG58" s="117" t="s">
        <v>4069</v>
      </c>
      <c r="AH58" s="117">
        <v>790000</v>
      </c>
      <c r="AI58" s="103">
        <v>15</v>
      </c>
      <c r="AJ58" s="103">
        <f t="shared" si="4"/>
        <v>26</v>
      </c>
      <c r="AK58" s="117">
        <f t="shared" si="5"/>
        <v>20540000</v>
      </c>
      <c r="AL58" s="103"/>
    </row>
    <row r="59" spans="1:38" x14ac:dyDescent="0.25">
      <c r="A59" s="63">
        <v>1400</v>
      </c>
      <c r="B59" s="11">
        <v>57</v>
      </c>
      <c r="C59" s="50">
        <f t="shared" si="8"/>
        <v>5655009.1360314842</v>
      </c>
      <c r="D59" s="3">
        <f t="shared" si="9"/>
        <v>4593726.5995433833</v>
      </c>
      <c r="E59" s="3">
        <f t="shared" si="7"/>
        <v>284152985.25355631</v>
      </c>
      <c r="F59" s="3"/>
      <c r="G59" s="11"/>
      <c r="H59" s="11"/>
      <c r="K59" s="32" t="s">
        <v>318</v>
      </c>
      <c r="L59" s="1">
        <v>15000</v>
      </c>
      <c r="Q59" s="121">
        <v>1200000</v>
      </c>
      <c r="R59" s="56" t="s">
        <v>3940</v>
      </c>
      <c r="AF59" s="189">
        <v>40</v>
      </c>
      <c r="AG59" s="188" t="s">
        <v>4100</v>
      </c>
      <c r="AH59" s="188">
        <v>-3865000</v>
      </c>
      <c r="AI59" s="189">
        <v>6</v>
      </c>
      <c r="AJ59" s="189">
        <f t="shared" si="4"/>
        <v>11</v>
      </c>
      <c r="AK59" s="191">
        <f t="shared" si="5"/>
        <v>-42515000</v>
      </c>
      <c r="AL59" s="189" t="s">
        <v>4131</v>
      </c>
    </row>
    <row r="60" spans="1:38" x14ac:dyDescent="0.25">
      <c r="A60" s="63">
        <v>1400</v>
      </c>
      <c r="B60" s="11">
        <v>58</v>
      </c>
      <c r="C60" s="3">
        <f t="shared" si="8"/>
        <v>5711559.227391799</v>
      </c>
      <c r="D60" s="3">
        <f t="shared" si="9"/>
        <v>4639663.8655388169</v>
      </c>
      <c r="E60" s="3">
        <f t="shared" si="7"/>
        <v>290907940.32048041</v>
      </c>
      <c r="F60" s="3"/>
      <c r="G60" s="11"/>
      <c r="H60" s="11"/>
      <c r="K60" s="32" t="s">
        <v>319</v>
      </c>
      <c r="L60" s="1">
        <v>20000</v>
      </c>
      <c r="Q60" s="14"/>
      <c r="R60" s="56"/>
      <c r="AF60" s="20">
        <v>41</v>
      </c>
      <c r="AG60" s="121" t="s">
        <v>4148</v>
      </c>
      <c r="AH60" s="121">
        <v>18800000</v>
      </c>
      <c r="AI60" s="20">
        <v>3</v>
      </c>
      <c r="AJ60" s="103">
        <f t="shared" si="4"/>
        <v>5</v>
      </c>
      <c r="AK60" s="117">
        <f t="shared" si="5"/>
        <v>94000000</v>
      </c>
      <c r="AL60" s="20"/>
    </row>
    <row r="61" spans="1:38" x14ac:dyDescent="0.25">
      <c r="A61" s="63">
        <v>1400</v>
      </c>
      <c r="B61" s="11">
        <v>59</v>
      </c>
      <c r="C61" s="3">
        <f t="shared" si="8"/>
        <v>5768674.819665717</v>
      </c>
      <c r="D61" s="3">
        <f t="shared" si="9"/>
        <v>4686060.5041942047</v>
      </c>
      <c r="E61" s="3">
        <f t="shared" si="7"/>
        <v>297808713.44236153</v>
      </c>
      <c r="F61" s="3"/>
      <c r="G61" s="11"/>
      <c r="H61" s="11"/>
      <c r="K61" s="32" t="s">
        <v>320</v>
      </c>
      <c r="L61" s="1">
        <v>40000</v>
      </c>
      <c r="Q61" s="121"/>
      <c r="R61" s="56"/>
      <c r="AF61" s="20">
        <v>42</v>
      </c>
      <c r="AG61" s="121" t="s">
        <v>4171</v>
      </c>
      <c r="AH61" s="121">
        <v>500000</v>
      </c>
      <c r="AI61" s="20">
        <v>1</v>
      </c>
      <c r="AJ61" s="103">
        <f t="shared" si="4"/>
        <v>2</v>
      </c>
      <c r="AK61" s="117">
        <f t="shared" si="5"/>
        <v>1000000</v>
      </c>
      <c r="AL61" s="20"/>
    </row>
    <row r="62" spans="1:38" x14ac:dyDescent="0.25">
      <c r="A62" s="63">
        <v>1400</v>
      </c>
      <c r="B62" s="11">
        <v>60</v>
      </c>
      <c r="C62" s="3">
        <f t="shared" si="8"/>
        <v>5826361.5678623738</v>
      </c>
      <c r="D62" s="3">
        <f t="shared" si="9"/>
        <v>4732921.1092361463</v>
      </c>
      <c r="E62" s="46">
        <f t="shared" si="7"/>
        <v>304858328.16983503</v>
      </c>
      <c r="F62" s="3"/>
      <c r="G62" s="11"/>
      <c r="H62" s="11"/>
      <c r="K62" s="32" t="s">
        <v>322</v>
      </c>
      <c r="L62" s="1">
        <v>150000</v>
      </c>
      <c r="Q62" s="121"/>
      <c r="R62" s="56"/>
      <c r="AF62" s="20">
        <v>43</v>
      </c>
      <c r="AG62" s="121" t="s">
        <v>4176</v>
      </c>
      <c r="AH62" s="121">
        <v>200000</v>
      </c>
      <c r="AI62" s="20">
        <v>1</v>
      </c>
      <c r="AJ62" s="103">
        <f t="shared" si="4"/>
        <v>1</v>
      </c>
      <c r="AK62" s="117">
        <f t="shared" si="5"/>
        <v>200000</v>
      </c>
      <c r="AL62" s="20"/>
    </row>
    <row r="63" spans="1:38" x14ac:dyDescent="0.25">
      <c r="E63" s="26"/>
      <c r="K63" s="32" t="s">
        <v>324</v>
      </c>
      <c r="L63" s="1">
        <v>75000</v>
      </c>
      <c r="Q63" s="121"/>
      <c r="R63" s="56"/>
      <c r="AF63" s="20"/>
      <c r="AG63" s="121"/>
      <c r="AH63" s="121"/>
      <c r="AI63" s="20"/>
      <c r="AJ63" s="103">
        <f t="shared" si="4"/>
        <v>0</v>
      </c>
      <c r="AK63" s="117">
        <f t="shared" si="5"/>
        <v>0</v>
      </c>
      <c r="AL63" s="20"/>
    </row>
    <row r="64" spans="1:38" x14ac:dyDescent="0.25">
      <c r="E64" s="26"/>
      <c r="K64" s="32" t="s">
        <v>314</v>
      </c>
      <c r="L64" s="1">
        <v>140000</v>
      </c>
      <c r="Q64" s="121"/>
      <c r="R64" s="56"/>
      <c r="AF64" s="20" t="s">
        <v>25</v>
      </c>
      <c r="AG64" s="121"/>
      <c r="AH64" s="121"/>
      <c r="AI64" s="20"/>
      <c r="AJ64" s="103">
        <f t="shared" si="4"/>
        <v>0</v>
      </c>
      <c r="AK64" s="121"/>
      <c r="AL64" s="20"/>
    </row>
    <row r="65" spans="1:38" x14ac:dyDescent="0.25">
      <c r="K65" s="2" t="s">
        <v>478</v>
      </c>
      <c r="L65" s="3">
        <v>1083333</v>
      </c>
      <c r="Q65" s="121"/>
      <c r="R65" s="56"/>
      <c r="AF65" s="20"/>
      <c r="AG65" s="121"/>
      <c r="AH65" s="121"/>
      <c r="AI65" s="20"/>
      <c r="AJ65" s="20"/>
      <c r="AK65" s="121"/>
      <c r="AL65" s="20"/>
    </row>
    <row r="66" spans="1:38" x14ac:dyDescent="0.25">
      <c r="K66" s="2"/>
      <c r="L66" s="3"/>
      <c r="Q66" s="117">
        <f>SUM(Q50:Q64)</f>
        <v>123376923.5</v>
      </c>
      <c r="R66" s="56" t="s">
        <v>1160</v>
      </c>
      <c r="AF66" s="103">
        <v>41</v>
      </c>
      <c r="AG66" s="117"/>
      <c r="AH66" s="117"/>
      <c r="AI66" s="103"/>
      <c r="AJ66" s="103"/>
      <c r="AK66" s="103"/>
      <c r="AL66" s="103"/>
    </row>
    <row r="67" spans="1:38" x14ac:dyDescent="0.25">
      <c r="A67" t="s">
        <v>25</v>
      </c>
      <c r="K67" s="2"/>
      <c r="L67" s="3"/>
      <c r="Q67" s="121"/>
      <c r="R67" s="56"/>
      <c r="AF67" s="103">
        <v>42</v>
      </c>
      <c r="AG67" s="117"/>
      <c r="AH67" s="117"/>
      <c r="AI67" s="103"/>
      <c r="AJ67" s="103"/>
      <c r="AK67" s="103"/>
      <c r="AL67" s="103"/>
    </row>
    <row r="68" spans="1:38" x14ac:dyDescent="0.25">
      <c r="K68" s="2" t="s">
        <v>6</v>
      </c>
      <c r="L68" s="3">
        <f>SUM(L45:L66)</f>
        <v>3383333</v>
      </c>
      <c r="Q68" s="121"/>
      <c r="R68" s="56"/>
      <c r="AF68" s="103"/>
      <c r="AG68" s="103"/>
      <c r="AH68" s="99">
        <f>SUM(AH20:AH65)</f>
        <v>73606899</v>
      </c>
      <c r="AI68" s="103"/>
      <c r="AJ68" s="103"/>
      <c r="AK68" s="99">
        <f>SUM(AK20:AK64)</f>
        <v>5055088286</v>
      </c>
      <c r="AL68" s="99">
        <f>AK68*AL71/31</f>
        <v>3261347.2812903225</v>
      </c>
    </row>
    <row r="69" spans="1:38" x14ac:dyDescent="0.25">
      <c r="K69" s="2" t="s">
        <v>328</v>
      </c>
      <c r="L69" s="3">
        <f>L68/30</f>
        <v>112777.76666666666</v>
      </c>
      <c r="AF69" s="103"/>
      <c r="AG69" s="103"/>
      <c r="AH69" s="103" t="s">
        <v>4127</v>
      </c>
      <c r="AI69" s="103"/>
      <c r="AJ69" s="103"/>
      <c r="AK69" s="103" t="s">
        <v>284</v>
      </c>
      <c r="AL69" s="103" t="s">
        <v>918</v>
      </c>
    </row>
    <row r="70" spans="1:38" x14ac:dyDescent="0.25">
      <c r="P70" s="119"/>
      <c r="AF70" s="103"/>
      <c r="AG70" s="103"/>
      <c r="AH70" s="103"/>
      <c r="AI70" s="103"/>
      <c r="AJ70" s="103"/>
      <c r="AK70" s="103"/>
      <c r="AL70" s="103"/>
    </row>
    <row r="71" spans="1:38" x14ac:dyDescent="0.25">
      <c r="P71" s="132"/>
      <c r="AF71" s="103"/>
      <c r="AG71" s="103"/>
      <c r="AH71" s="103"/>
      <c r="AI71" s="103"/>
      <c r="AJ71" s="103"/>
      <c r="AK71" s="103" t="s">
        <v>4128</v>
      </c>
      <c r="AL71" s="103">
        <v>0.02</v>
      </c>
    </row>
    <row r="72" spans="1:38" x14ac:dyDescent="0.25">
      <c r="O72" s="119"/>
      <c r="P72" s="132"/>
      <c r="S72" s="119"/>
      <c r="T72" s="119"/>
      <c r="W72" s="119"/>
      <c r="AF72" s="103"/>
      <c r="AG72" s="103"/>
      <c r="AH72" s="103"/>
      <c r="AI72" s="103"/>
      <c r="AJ72" s="103"/>
      <c r="AK72" s="103"/>
      <c r="AL72" s="103"/>
    </row>
    <row r="73" spans="1:38" x14ac:dyDescent="0.25">
      <c r="O73" s="119"/>
      <c r="P73" s="119"/>
      <c r="S73" s="119"/>
      <c r="T73" s="119"/>
      <c r="W73" s="176"/>
      <c r="AF73" s="103"/>
      <c r="AG73" s="103" t="s">
        <v>4129</v>
      </c>
      <c r="AH73" s="99">
        <f>AH68+AL68</f>
        <v>76868246.281290323</v>
      </c>
      <c r="AI73" s="103"/>
      <c r="AJ73" s="103"/>
      <c r="AK73" s="103"/>
      <c r="AL73" s="103"/>
    </row>
    <row r="74" spans="1:38" x14ac:dyDescent="0.25">
      <c r="Q74" s="119"/>
      <c r="R74" s="119"/>
      <c r="S74" s="119"/>
      <c r="T74" s="119"/>
      <c r="W74" s="119"/>
      <c r="X74" s="119"/>
      <c r="Y74" s="119"/>
      <c r="Z74" s="119"/>
      <c r="AA74" s="119"/>
      <c r="AB74" s="119"/>
      <c r="AC74" s="119"/>
      <c r="AD74" s="119"/>
      <c r="AG74" t="s">
        <v>4132</v>
      </c>
      <c r="AH74" s="118">
        <f>SUM(N28:N30)</f>
        <v>94264918.099999994</v>
      </c>
    </row>
    <row r="75" spans="1:38" x14ac:dyDescent="0.25">
      <c r="K75" s="48" t="s">
        <v>790</v>
      </c>
      <c r="L75" s="48" t="s">
        <v>476</v>
      </c>
      <c r="Q75" s="126"/>
      <c r="R75" s="119"/>
      <c r="S75" s="119"/>
      <c r="T75" s="119"/>
      <c r="W75" s="119"/>
      <c r="X75" s="132"/>
      <c r="Y75" s="119"/>
      <c r="Z75" s="119"/>
      <c r="AA75" s="119"/>
      <c r="AB75" s="132"/>
      <c r="AC75" s="119"/>
      <c r="AD75" s="119"/>
      <c r="AG75" t="s">
        <v>4133</v>
      </c>
      <c r="AH75" s="118">
        <f>AH74-AH73</f>
        <v>17396671.818709671</v>
      </c>
    </row>
    <row r="76" spans="1:38" x14ac:dyDescent="0.25">
      <c r="K76" s="47">
        <v>700000</v>
      </c>
      <c r="L76" s="48" t="s">
        <v>1042</v>
      </c>
      <c r="Q76" s="126"/>
      <c r="R76" s="132"/>
      <c r="S76" s="126"/>
      <c r="W76" s="119"/>
      <c r="X76" s="132"/>
      <c r="Y76" s="119"/>
      <c r="Z76" s="119"/>
      <c r="AA76" s="119"/>
      <c r="AB76" s="132"/>
      <c r="AC76" s="119"/>
      <c r="AD76" s="119"/>
    </row>
    <row r="77" spans="1:38" x14ac:dyDescent="0.25">
      <c r="K77" s="47">
        <v>500000</v>
      </c>
      <c r="L77" s="48" t="s">
        <v>479</v>
      </c>
      <c r="Q77" s="126"/>
      <c r="R77" s="119"/>
      <c r="W77" s="119"/>
      <c r="X77" s="132"/>
      <c r="Y77" s="119"/>
      <c r="Z77" s="119"/>
      <c r="AA77" s="119"/>
      <c r="AB77" s="132"/>
      <c r="AC77" s="119"/>
      <c r="AD77" s="119"/>
      <c r="AI77">
        <f>AH75/AH73</f>
        <v>0.22631805277628675</v>
      </c>
    </row>
    <row r="78" spans="1:38" x14ac:dyDescent="0.25">
      <c r="K78" s="47">
        <v>180000</v>
      </c>
      <c r="L78" s="48" t="s">
        <v>558</v>
      </c>
      <c r="Q78" s="126"/>
      <c r="W78" s="119"/>
      <c r="X78" s="132"/>
      <c r="Y78" s="119"/>
      <c r="Z78" s="119"/>
      <c r="AA78" s="119"/>
      <c r="AB78" s="132"/>
      <c r="AC78" s="119"/>
      <c r="AD78" s="119"/>
    </row>
    <row r="79" spans="1:38" x14ac:dyDescent="0.25">
      <c r="K79" s="47">
        <v>0</v>
      </c>
      <c r="L79" s="48" t="s">
        <v>786</v>
      </c>
      <c r="W79" s="119"/>
      <c r="X79" s="132"/>
      <c r="Y79" s="119"/>
      <c r="Z79" s="119"/>
      <c r="AA79" s="119"/>
      <c r="AB79" s="132"/>
      <c r="AC79" s="119"/>
      <c r="AD79" s="119"/>
    </row>
    <row r="80" spans="1:38" x14ac:dyDescent="0.25">
      <c r="K80" s="47">
        <v>0</v>
      </c>
      <c r="L80" s="48" t="s">
        <v>787</v>
      </c>
      <c r="W80" s="119"/>
      <c r="X80" s="132"/>
      <c r="Y80" s="119"/>
      <c r="Z80" s="119"/>
      <c r="AA80" s="119"/>
      <c r="AB80" s="132"/>
      <c r="AC80" s="119"/>
      <c r="AD80" s="119"/>
    </row>
    <row r="81" spans="11:30" x14ac:dyDescent="0.25">
      <c r="K81" s="47">
        <v>500000</v>
      </c>
      <c r="L81" s="48" t="s">
        <v>788</v>
      </c>
      <c r="Q81" s="22"/>
      <c r="W81" s="119"/>
      <c r="X81" s="119"/>
      <c r="Y81" s="119"/>
      <c r="Z81" s="119"/>
      <c r="AA81" s="119"/>
      <c r="AB81" s="119"/>
      <c r="AC81" s="119"/>
      <c r="AD81" s="119"/>
    </row>
    <row r="82" spans="11:30" x14ac:dyDescent="0.25">
      <c r="K82" s="47">
        <v>75000</v>
      </c>
      <c r="L82" s="48" t="s">
        <v>789</v>
      </c>
      <c r="W82" s="119"/>
      <c r="X82" s="119"/>
      <c r="Y82" s="119"/>
      <c r="Z82" s="119"/>
      <c r="AA82" s="119"/>
      <c r="AB82" s="119"/>
      <c r="AC82" s="119"/>
      <c r="AD82" s="119"/>
    </row>
    <row r="83" spans="11:30" x14ac:dyDescent="0.25">
      <c r="K83" s="47">
        <v>0</v>
      </c>
      <c r="L83" s="48" t="s">
        <v>791</v>
      </c>
      <c r="W83" s="119"/>
      <c r="X83" s="119"/>
      <c r="Y83" s="119"/>
      <c r="Z83" s="119"/>
      <c r="AA83" s="119"/>
      <c r="AB83" s="119"/>
      <c r="AC83" s="119"/>
      <c r="AD83" s="119"/>
    </row>
    <row r="84" spans="11:30" x14ac:dyDescent="0.25">
      <c r="K84" s="47">
        <v>500000</v>
      </c>
      <c r="L84" s="48" t="s">
        <v>564</v>
      </c>
      <c r="X84" s="119"/>
      <c r="Y84" s="119"/>
      <c r="Z84" s="119"/>
      <c r="AA84" s="119"/>
      <c r="AB84" s="132"/>
      <c r="AC84" s="119"/>
      <c r="AD84" s="119"/>
    </row>
    <row r="85" spans="11:30" x14ac:dyDescent="0.25">
      <c r="K85" s="47">
        <v>50000</v>
      </c>
      <c r="L85" s="48" t="s">
        <v>794</v>
      </c>
      <c r="X85" s="119"/>
      <c r="Y85" s="119"/>
      <c r="Z85" s="119"/>
      <c r="AA85" s="119"/>
      <c r="AB85" s="119"/>
      <c r="AC85" s="119"/>
      <c r="AD85" s="119"/>
    </row>
    <row r="86" spans="11:30" x14ac:dyDescent="0.25">
      <c r="K86" s="47">
        <v>140000</v>
      </c>
      <c r="L86" s="48" t="s">
        <v>314</v>
      </c>
    </row>
    <row r="87" spans="11:30" x14ac:dyDescent="0.25">
      <c r="K87" s="47"/>
      <c r="L87" s="48" t="s">
        <v>25</v>
      </c>
    </row>
    <row r="88" spans="11:30" x14ac:dyDescent="0.25">
      <c r="K88" s="47">
        <f>SUM(K76:K87)</f>
        <v>2645000</v>
      </c>
      <c r="L88" s="48" t="s">
        <v>6</v>
      </c>
    </row>
    <row r="98" spans="8:8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805</v>
      </c>
      <c r="B9" s="117">
        <v>-80000</v>
      </c>
      <c r="C9" s="103" t="s">
        <v>812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891</v>
      </c>
      <c r="B10" s="117">
        <v>850000</v>
      </c>
      <c r="C10" s="103" t="s">
        <v>897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913</v>
      </c>
      <c r="B11" s="117">
        <v>-700000</v>
      </c>
      <c r="C11" s="103" t="s">
        <v>923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921</v>
      </c>
      <c r="B12" s="117">
        <v>1000000</v>
      </c>
      <c r="C12" s="103" t="s">
        <v>924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1037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1043</v>
      </c>
      <c r="B14" s="117">
        <v>-191000</v>
      </c>
      <c r="C14" s="103" t="s">
        <v>923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1085</v>
      </c>
      <c r="B15" s="117">
        <v>-200000</v>
      </c>
      <c r="C15" s="103" t="s">
        <v>812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1191</v>
      </c>
      <c r="B16" s="117">
        <v>-694356</v>
      </c>
      <c r="C16" s="103" t="s">
        <v>1192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1203</v>
      </c>
      <c r="B17" s="117">
        <v>50000</v>
      </c>
      <c r="C17" s="103" t="s">
        <v>1217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3705</v>
      </c>
      <c r="B18" s="117">
        <v>1047</v>
      </c>
      <c r="C18" s="103" t="s">
        <v>3708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3741</v>
      </c>
      <c r="B19" s="117">
        <v>785500</v>
      </c>
      <c r="C19" s="103" t="s">
        <v>3745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3838</v>
      </c>
      <c r="B20" s="117">
        <v>-57500</v>
      </c>
      <c r="C20" s="103" t="s">
        <v>1022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3838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3952</v>
      </c>
      <c r="B22" s="117">
        <v>-85000</v>
      </c>
      <c r="C22" s="103" t="s">
        <v>3963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3930</v>
      </c>
      <c r="B23" s="117">
        <v>-180000</v>
      </c>
      <c r="C23" s="103" t="s">
        <v>3963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3930</v>
      </c>
      <c r="B24" s="117">
        <v>-69000</v>
      </c>
      <c r="C24" s="103" t="s">
        <v>3963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3948</v>
      </c>
      <c r="B25" s="117">
        <v>-8600</v>
      </c>
      <c r="C25" s="103" t="s">
        <v>3963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3948</v>
      </c>
      <c r="B26" s="117">
        <v>-40000</v>
      </c>
      <c r="C26" s="103" t="s">
        <v>3963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3948</v>
      </c>
      <c r="B27" s="117">
        <v>-92500</v>
      </c>
      <c r="C27" s="103" t="s">
        <v>3963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3948</v>
      </c>
      <c r="B28" s="117">
        <v>-47000</v>
      </c>
      <c r="C28" s="103" t="s">
        <v>3963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3953</v>
      </c>
      <c r="B29" s="117">
        <v>-77500</v>
      </c>
      <c r="C29" s="103" t="s">
        <v>3963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3953</v>
      </c>
      <c r="B30" s="117">
        <v>-57000</v>
      </c>
      <c r="C30" s="103" t="s">
        <v>3963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3953</v>
      </c>
      <c r="B31" s="117">
        <v>-45000</v>
      </c>
      <c r="C31" s="103" t="s">
        <v>3963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3953</v>
      </c>
      <c r="B32" s="117">
        <v>-30000</v>
      </c>
      <c r="C32" s="103" t="s">
        <v>3963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3962</v>
      </c>
      <c r="B33" s="117">
        <v>1000000</v>
      </c>
      <c r="C33" s="103" t="s">
        <v>3926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3967</v>
      </c>
      <c r="B34" s="117">
        <v>-79700</v>
      </c>
      <c r="C34" s="103" t="s">
        <v>3963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4087</v>
      </c>
      <c r="B35" s="117">
        <v>-1187</v>
      </c>
      <c r="C35" s="103" t="s">
        <v>3963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4011</v>
      </c>
      <c r="B36" s="117">
        <v>-55262</v>
      </c>
      <c r="C36" s="103" t="s">
        <v>3963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4013</v>
      </c>
      <c r="B37" s="117">
        <v>-15700</v>
      </c>
      <c r="C37" s="103" t="s">
        <v>3963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4088</v>
      </c>
      <c r="B38" s="117">
        <v>-176000</v>
      </c>
      <c r="C38" s="103" t="s">
        <v>3963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4048</v>
      </c>
      <c r="B39" s="117">
        <v>-68600</v>
      </c>
      <c r="C39" s="103" t="s">
        <v>3963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4086</v>
      </c>
      <c r="B40" s="117">
        <v>-3540</v>
      </c>
      <c r="C40" s="103" t="s">
        <v>3963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4084</v>
      </c>
      <c r="B41" s="117">
        <v>-315101</v>
      </c>
      <c r="C41" s="103" t="s">
        <v>4085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3720</v>
      </c>
      <c r="B42" s="117">
        <v>-416000</v>
      </c>
      <c r="C42" s="103" t="s">
        <v>4094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1043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1110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1043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1110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1110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1110</v>
      </c>
      <c r="I45" s="11">
        <v>231000</v>
      </c>
      <c r="J45" s="11" t="s">
        <v>1109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937</v>
      </c>
      <c r="B5" s="18">
        <v>-27000000</v>
      </c>
      <c r="C5" s="18">
        <v>0</v>
      </c>
      <c r="D5" s="3">
        <f t="shared" si="0"/>
        <v>-27000000</v>
      </c>
      <c r="E5" s="20" t="s">
        <v>1013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1037</v>
      </c>
      <c r="B6" s="18">
        <v>252436</v>
      </c>
      <c r="C6" s="18">
        <v>65510</v>
      </c>
      <c r="D6" s="3">
        <f t="shared" si="0"/>
        <v>186926</v>
      </c>
      <c r="E6" s="19" t="s">
        <v>1039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1011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1029</v>
      </c>
    </row>
    <row r="36" spans="4:17" x14ac:dyDescent="0.25">
      <c r="D36" s="42">
        <v>245000</v>
      </c>
      <c r="E36" s="41" t="s">
        <v>1029</v>
      </c>
    </row>
    <row r="37" spans="4:17" x14ac:dyDescent="0.25">
      <c r="D37" s="7">
        <v>-25000</v>
      </c>
      <c r="E37" s="41" t="s">
        <v>1033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1083</v>
      </c>
      <c r="B4" s="18">
        <v>-52000000</v>
      </c>
      <c r="C4" s="18">
        <v>0</v>
      </c>
      <c r="D4" s="3">
        <f t="shared" si="0"/>
        <v>-52000000</v>
      </c>
      <c r="E4" s="11" t="s">
        <v>1087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1127</v>
      </c>
      <c r="B5" s="18">
        <v>-8000000</v>
      </c>
      <c r="C5" s="18">
        <v>-6772131</v>
      </c>
      <c r="D5" s="3">
        <f t="shared" si="0"/>
        <v>-1227869</v>
      </c>
      <c r="E5" s="20" t="s">
        <v>1013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1127</v>
      </c>
      <c r="B6" s="18">
        <v>-31230</v>
      </c>
      <c r="C6" s="18">
        <v>0</v>
      </c>
      <c r="D6" s="3">
        <f t="shared" si="0"/>
        <v>-31230</v>
      </c>
      <c r="E6" s="19" t="s">
        <v>1128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1173</v>
      </c>
      <c r="B7" s="39">
        <v>135087</v>
      </c>
      <c r="C7" s="39">
        <v>41130</v>
      </c>
      <c r="D7" s="35">
        <f t="shared" si="0"/>
        <v>93957</v>
      </c>
      <c r="E7" s="5" t="s">
        <v>1182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1079</v>
      </c>
      <c r="G31" s="9" t="s">
        <v>1040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1055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1078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1107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1135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1136</v>
      </c>
    </row>
    <row r="37" spans="4:17" x14ac:dyDescent="0.25">
      <c r="D37" s="7">
        <v>-65500</v>
      </c>
      <c r="E37" s="41" t="s">
        <v>1151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1173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1184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1077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1203</v>
      </c>
      <c r="B4" s="18">
        <v>-200000</v>
      </c>
      <c r="C4" s="18">
        <v>0</v>
      </c>
      <c r="D4" s="117">
        <f t="shared" si="0"/>
        <v>-200000</v>
      </c>
      <c r="E4" s="103" t="s">
        <v>761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1203</v>
      </c>
      <c r="B5" s="18">
        <v>-247840</v>
      </c>
      <c r="C5" s="18">
        <v>0</v>
      </c>
      <c r="D5" s="117">
        <f t="shared" si="0"/>
        <v>-247840</v>
      </c>
      <c r="E5" s="20" t="s">
        <v>1206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1209</v>
      </c>
      <c r="B6" s="18">
        <v>-162340</v>
      </c>
      <c r="C6" s="18">
        <v>0</v>
      </c>
      <c r="D6" s="117">
        <f t="shared" si="0"/>
        <v>-162340</v>
      </c>
      <c r="E6" s="19" t="s">
        <v>1212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1209</v>
      </c>
      <c r="B7" s="18">
        <v>-3000900</v>
      </c>
      <c r="C7" s="18">
        <v>0</v>
      </c>
      <c r="D7" s="117">
        <f t="shared" si="0"/>
        <v>-3000900</v>
      </c>
      <c r="E7" s="19" t="s">
        <v>1213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1225</v>
      </c>
      <c r="B8" s="18">
        <v>-1000500</v>
      </c>
      <c r="C8" s="18">
        <v>0</v>
      </c>
      <c r="D8" s="117">
        <f t="shared" si="0"/>
        <v>-1000500</v>
      </c>
      <c r="E8" s="19" t="s">
        <v>1227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1237</v>
      </c>
      <c r="B9" s="18">
        <v>-100000</v>
      </c>
      <c r="C9" s="18">
        <v>0</v>
      </c>
      <c r="D9" s="117">
        <f t="shared" si="0"/>
        <v>-100000</v>
      </c>
      <c r="E9" s="21" t="s">
        <v>1238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1241</v>
      </c>
      <c r="B10" s="18">
        <v>-2000000</v>
      </c>
      <c r="C10" s="18">
        <v>0</v>
      </c>
      <c r="D10" s="117">
        <f t="shared" si="0"/>
        <v>-2000000</v>
      </c>
      <c r="E10" s="19" t="s">
        <v>1116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1241</v>
      </c>
      <c r="B11" s="18">
        <v>-1000500</v>
      </c>
      <c r="C11" s="18">
        <v>0</v>
      </c>
      <c r="D11" s="117">
        <f t="shared" si="0"/>
        <v>-1000500</v>
      </c>
      <c r="E11" s="19" t="s">
        <v>1249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1256</v>
      </c>
      <c r="B12" s="18">
        <v>-5000</v>
      </c>
      <c r="C12" s="18">
        <v>0</v>
      </c>
      <c r="D12" s="117">
        <f t="shared" si="0"/>
        <v>-5000</v>
      </c>
      <c r="E12" s="20" t="s">
        <v>1238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3699</v>
      </c>
      <c r="B13" s="18">
        <v>3000000</v>
      </c>
      <c r="C13" s="18">
        <v>0</v>
      </c>
      <c r="D13" s="117">
        <f t="shared" si="0"/>
        <v>3000000</v>
      </c>
      <c r="E13" s="20" t="s">
        <v>3702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3703</v>
      </c>
      <c r="B14" s="18">
        <v>3000000</v>
      </c>
      <c r="C14" s="18">
        <v>0</v>
      </c>
      <c r="D14" s="117">
        <f t="shared" si="0"/>
        <v>3000000</v>
      </c>
      <c r="E14" s="20" t="s">
        <v>3702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3705</v>
      </c>
      <c r="B15" s="39">
        <v>20314</v>
      </c>
      <c r="C15" s="39">
        <v>59842</v>
      </c>
      <c r="D15" s="35">
        <f t="shared" si="0"/>
        <v>-39528</v>
      </c>
      <c r="E15" s="23" t="s">
        <v>3708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1178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1187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1198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1214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1219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1222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1224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1228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1229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1229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1236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1239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1248</v>
      </c>
    </row>
    <row r="51" spans="1:18" x14ac:dyDescent="0.25">
      <c r="D51" s="118">
        <v>1000000</v>
      </c>
      <c r="E51" s="41" t="s">
        <v>1250</v>
      </c>
    </row>
    <row r="52" spans="1:18" x14ac:dyDescent="0.25">
      <c r="D52" s="118">
        <v>910500</v>
      </c>
      <c r="E52" s="41" t="s">
        <v>1261</v>
      </c>
    </row>
    <row r="53" spans="1:18" x14ac:dyDescent="0.25">
      <c r="D53" s="118">
        <v>-300000</v>
      </c>
      <c r="E53" s="41" t="s">
        <v>1264</v>
      </c>
    </row>
    <row r="54" spans="1:18" x14ac:dyDescent="0.25">
      <c r="D54" s="118">
        <v>-58500</v>
      </c>
      <c r="E54" s="41" t="s">
        <v>1265</v>
      </c>
    </row>
    <row r="55" spans="1:18" x14ac:dyDescent="0.25">
      <c r="D55" s="118">
        <v>-1500000</v>
      </c>
      <c r="E55" s="41" t="s">
        <v>1268</v>
      </c>
    </row>
    <row r="56" spans="1:18" x14ac:dyDescent="0.25">
      <c r="D56" s="118">
        <v>-61000</v>
      </c>
      <c r="E56" s="41" t="s">
        <v>1272</v>
      </c>
    </row>
    <row r="57" spans="1:18" x14ac:dyDescent="0.25">
      <c r="D57" s="118">
        <v>1000000</v>
      </c>
      <c r="E57" s="41" t="s">
        <v>3691</v>
      </c>
    </row>
    <row r="58" spans="1:18" x14ac:dyDescent="0.25">
      <c r="D58" s="118">
        <v>200000</v>
      </c>
      <c r="E58" s="41" t="s">
        <v>3701</v>
      </c>
    </row>
    <row r="59" spans="1:18" x14ac:dyDescent="0.25">
      <c r="D59" s="118">
        <v>3000000</v>
      </c>
      <c r="E59" s="41" t="s">
        <v>3706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3705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3728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3729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3806</v>
      </c>
      <c r="B4" s="18">
        <v>-3000900</v>
      </c>
      <c r="C4" s="18">
        <v>0</v>
      </c>
      <c r="D4" s="117">
        <f t="shared" si="0"/>
        <v>-3000900</v>
      </c>
      <c r="E4" s="103" t="s">
        <v>3808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3826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3731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3736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3740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3740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3796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3813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3824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3830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3832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3833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3834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3826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3962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3926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3967</v>
      </c>
      <c r="B4" s="18">
        <v>-5000000</v>
      </c>
      <c r="C4" s="18">
        <v>0</v>
      </c>
      <c r="D4" s="117">
        <f t="shared" si="0"/>
        <v>-5000000</v>
      </c>
      <c r="E4" s="103" t="s">
        <v>3968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3997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3919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3928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3931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3932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3937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3944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3946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3951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3956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3957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3964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3969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3979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3983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3986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3993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3994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37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3826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4035</v>
      </c>
      <c r="B3" s="18">
        <v>785000</v>
      </c>
      <c r="C3" s="18">
        <v>0</v>
      </c>
      <c r="D3" s="121">
        <f t="shared" ref="D3:D22" si="0">B3-C3</f>
        <v>785000</v>
      </c>
      <c r="E3" s="20" t="s">
        <v>1030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4035</v>
      </c>
      <c r="B4" s="18">
        <v>-32000</v>
      </c>
      <c r="C4" s="18">
        <v>0</v>
      </c>
      <c r="D4" s="117">
        <f t="shared" si="0"/>
        <v>-32000</v>
      </c>
      <c r="E4" s="103" t="s">
        <v>4006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4037</v>
      </c>
      <c r="B5" s="18">
        <v>-750000</v>
      </c>
      <c r="C5" s="18">
        <v>0</v>
      </c>
      <c r="D5" s="117">
        <f t="shared" si="0"/>
        <v>-750000</v>
      </c>
      <c r="E5" s="20" t="s">
        <v>3804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4076</v>
      </c>
      <c r="B6" s="18">
        <v>-9396</v>
      </c>
      <c r="C6" s="18">
        <v>0</v>
      </c>
      <c r="D6" s="117">
        <f t="shared" si="0"/>
        <v>-9396</v>
      </c>
      <c r="E6" s="19" t="s">
        <v>4079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4080</v>
      </c>
      <c r="B7" s="18">
        <v>-43300</v>
      </c>
      <c r="C7" s="18">
        <v>0</v>
      </c>
      <c r="D7" s="117">
        <f t="shared" si="0"/>
        <v>-43300</v>
      </c>
      <c r="E7" s="19" t="s">
        <v>4079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3720</v>
      </c>
      <c r="B8" s="18">
        <v>360000</v>
      </c>
      <c r="C8" s="18">
        <v>0</v>
      </c>
      <c r="D8" s="117">
        <f t="shared" si="0"/>
        <v>360000</v>
      </c>
      <c r="E8" s="19" t="s">
        <v>4093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4097</v>
      </c>
      <c r="B9" s="18">
        <v>3000000</v>
      </c>
      <c r="C9" s="18">
        <v>0</v>
      </c>
      <c r="D9" s="117">
        <f t="shared" si="0"/>
        <v>3000000</v>
      </c>
      <c r="E9" s="21" t="s">
        <v>4096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4095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4005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4006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4009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4010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4012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4015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4016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4018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4020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4021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4038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4039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4040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4041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4042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4043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4044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4045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4047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4049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4051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4052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4053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4057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4059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4060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4062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4065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4070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4071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4072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4073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4078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4081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4083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4099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942</v>
      </c>
      <c r="B1" s="11" t="s">
        <v>939</v>
      </c>
      <c r="C1" s="11" t="s">
        <v>940</v>
      </c>
      <c r="D1" s="11" t="s">
        <v>951</v>
      </c>
      <c r="E1" s="11" t="s">
        <v>953</v>
      </c>
      <c r="F1" s="11" t="s">
        <v>943</v>
      </c>
      <c r="G1" s="11" t="s">
        <v>183</v>
      </c>
      <c r="H1" s="11" t="s">
        <v>958</v>
      </c>
      <c r="I1" s="11" t="s">
        <v>948</v>
      </c>
      <c r="J1" s="11" t="s">
        <v>954</v>
      </c>
      <c r="K1" s="11" t="s">
        <v>955</v>
      </c>
      <c r="L1" s="11" t="s">
        <v>949</v>
      </c>
      <c r="M1" s="11" t="s">
        <v>956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1017</v>
      </c>
      <c r="S1" s="103" t="s">
        <v>38</v>
      </c>
      <c r="T1" s="11" t="s">
        <v>959</v>
      </c>
      <c r="U1" s="74" t="s">
        <v>1034</v>
      </c>
      <c r="AE1" s="11" t="s">
        <v>958</v>
      </c>
      <c r="AF1" s="25"/>
    </row>
    <row r="2" spans="1:38" x14ac:dyDescent="0.25">
      <c r="A2" s="75" t="s">
        <v>930</v>
      </c>
      <c r="B2" s="75" t="s">
        <v>950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930</v>
      </c>
      <c r="B3" s="75" t="s">
        <v>950</v>
      </c>
      <c r="C3" s="75">
        <v>400</v>
      </c>
      <c r="D3" s="75" t="s">
        <v>952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945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946</v>
      </c>
      <c r="AF3" s="111" t="s">
        <v>1023</v>
      </c>
      <c r="AG3" s="111" t="s">
        <v>1024</v>
      </c>
      <c r="AH3" s="111" t="s">
        <v>1129</v>
      </c>
      <c r="AI3" s="111" t="s">
        <v>1025</v>
      </c>
      <c r="AJ3" s="111" t="s">
        <v>1026</v>
      </c>
      <c r="AK3" s="111" t="s">
        <v>1130</v>
      </c>
      <c r="AL3" s="111" t="s">
        <v>947</v>
      </c>
    </row>
    <row r="4" spans="1:38" x14ac:dyDescent="0.25">
      <c r="A4" s="78" t="s">
        <v>930</v>
      </c>
      <c r="B4" s="78" t="s">
        <v>941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3741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1020</v>
      </c>
      <c r="B5" s="78" t="s">
        <v>941</v>
      </c>
      <c r="C5" s="78">
        <v>3</v>
      </c>
      <c r="D5" s="78" t="s">
        <v>952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930</v>
      </c>
      <c r="B6" s="75" t="s">
        <v>941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1031</v>
      </c>
      <c r="B7" s="75" t="s">
        <v>941</v>
      </c>
      <c r="C7" s="75">
        <v>497</v>
      </c>
      <c r="D7" s="75" t="s">
        <v>952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938</v>
      </c>
      <c r="B8" s="78" t="s">
        <v>957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937</v>
      </c>
      <c r="B9" s="78" t="s">
        <v>957</v>
      </c>
      <c r="C9" s="78">
        <v>300</v>
      </c>
      <c r="D9" s="78" t="s">
        <v>952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938</v>
      </c>
      <c r="B10" s="75" t="s">
        <v>957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1031</v>
      </c>
      <c r="B11" s="75" t="s">
        <v>957</v>
      </c>
      <c r="C11" s="75">
        <v>100</v>
      </c>
      <c r="D11" s="75" t="s">
        <v>952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937</v>
      </c>
      <c r="B12" s="78" t="s">
        <v>1010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937</v>
      </c>
      <c r="B13" s="78" t="s">
        <v>1010</v>
      </c>
      <c r="C13" s="78">
        <v>200</v>
      </c>
      <c r="D13" s="78" t="s">
        <v>952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937</v>
      </c>
      <c r="B14" s="75" t="s">
        <v>967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1093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937</v>
      </c>
      <c r="B15" s="75" t="s">
        <v>967</v>
      </c>
      <c r="C15" s="75">
        <v>200</v>
      </c>
      <c r="D15" s="75" t="s">
        <v>952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1027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937</v>
      </c>
      <c r="B16" s="78" t="s">
        <v>950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1028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1031</v>
      </c>
      <c r="B17" s="78" t="s">
        <v>950</v>
      </c>
      <c r="C17" s="78">
        <v>100</v>
      </c>
      <c r="D17" s="78" t="s">
        <v>952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937</v>
      </c>
      <c r="B18" s="75" t="s">
        <v>950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1058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1031</v>
      </c>
      <c r="B19" s="75" t="s">
        <v>950</v>
      </c>
      <c r="C19" s="75">
        <v>100</v>
      </c>
      <c r="D19" s="75" t="s">
        <v>952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1059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937</v>
      </c>
      <c r="B20" s="78" t="s">
        <v>950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1031</v>
      </c>
      <c r="B21" s="78" t="s">
        <v>950</v>
      </c>
      <c r="C21" s="78">
        <v>200</v>
      </c>
      <c r="D21" s="78" t="s">
        <v>952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937</v>
      </c>
      <c r="B22" s="75" t="s">
        <v>963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960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1031</v>
      </c>
      <c r="B23" s="75" t="s">
        <v>963</v>
      </c>
      <c r="C23" s="75">
        <v>100</v>
      </c>
      <c r="D23" s="75" t="s">
        <v>952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961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937</v>
      </c>
      <c r="B24" s="78" t="s">
        <v>950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1031</v>
      </c>
      <c r="B25" s="78" t="s">
        <v>950</v>
      </c>
      <c r="C25" s="78">
        <v>300</v>
      </c>
      <c r="D25" s="78" t="s">
        <v>952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937</v>
      </c>
      <c r="B26" s="75" t="s">
        <v>963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1031</v>
      </c>
      <c r="B27" s="75" t="s">
        <v>963</v>
      </c>
      <c r="C27" s="75">
        <v>200</v>
      </c>
      <c r="D27" s="75" t="s">
        <v>952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937</v>
      </c>
      <c r="B28" s="88" t="s">
        <v>963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1068</v>
      </c>
      <c r="B29" s="88" t="s">
        <v>963</v>
      </c>
      <c r="C29" s="88">
        <v>100</v>
      </c>
      <c r="D29" s="88" t="s">
        <v>952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1020</v>
      </c>
      <c r="B30" s="78" t="s">
        <v>1010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1020</v>
      </c>
      <c r="B31" s="78" t="s">
        <v>1010</v>
      </c>
      <c r="C31" s="78">
        <v>143</v>
      </c>
      <c r="D31" s="78" t="s">
        <v>952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1020</v>
      </c>
      <c r="B32" s="75" t="s">
        <v>941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1020</v>
      </c>
      <c r="B33" s="75" t="s">
        <v>941</v>
      </c>
      <c r="C33" s="75">
        <v>500</v>
      </c>
      <c r="D33" s="75" t="s">
        <v>952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1020</v>
      </c>
      <c r="B34" s="78" t="s">
        <v>1010</v>
      </c>
      <c r="C34" s="78">
        <v>140</v>
      </c>
      <c r="D34" s="78" t="s">
        <v>1022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956</v>
      </c>
      <c r="Z34" s="101">
        <f>Z32-AL12</f>
        <v>0</v>
      </c>
    </row>
    <row r="35" spans="1:26" x14ac:dyDescent="0.25">
      <c r="A35" s="78" t="s">
        <v>1020</v>
      </c>
      <c r="B35" s="78" t="s">
        <v>1010</v>
      </c>
      <c r="C35" s="78">
        <v>140</v>
      </c>
      <c r="D35" s="78" t="s">
        <v>952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1031</v>
      </c>
      <c r="B36" s="75" t="s">
        <v>957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1031</v>
      </c>
      <c r="B37" s="75" t="s">
        <v>957</v>
      </c>
      <c r="C37" s="75">
        <v>100</v>
      </c>
      <c r="D37" s="75" t="s">
        <v>952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1031</v>
      </c>
      <c r="B38" s="78" t="s">
        <v>964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1031</v>
      </c>
      <c r="B39" s="78" t="s">
        <v>964</v>
      </c>
      <c r="C39" s="78">
        <v>500</v>
      </c>
      <c r="D39" s="78" t="s">
        <v>952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1031</v>
      </c>
      <c r="B40" s="75" t="s">
        <v>941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1068</v>
      </c>
      <c r="B41" s="75" t="s">
        <v>941</v>
      </c>
      <c r="C41" s="75">
        <v>8</v>
      </c>
      <c r="D41" s="75" t="s">
        <v>952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1031</v>
      </c>
      <c r="B42" s="78" t="s">
        <v>967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1069</v>
      </c>
      <c r="B43" s="78" t="s">
        <v>967</v>
      </c>
      <c r="C43" s="78">
        <v>1900</v>
      </c>
      <c r="D43" s="78" t="s">
        <v>952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1117</v>
      </c>
      <c r="B44" s="122" t="s">
        <v>1132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1133</v>
      </c>
      <c r="U44" s="76"/>
    </row>
    <row r="45" spans="1:26" x14ac:dyDescent="0.25">
      <c r="A45" s="122" t="s">
        <v>1117</v>
      </c>
      <c r="B45" s="122" t="s">
        <v>1134</v>
      </c>
      <c r="C45" s="122">
        <v>100</v>
      </c>
      <c r="D45" s="122" t="s">
        <v>952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1117</v>
      </c>
      <c r="B46" s="125" t="s">
        <v>941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952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3741</v>
      </c>
      <c r="B48" s="122" t="s">
        <v>957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952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3741</v>
      </c>
      <c r="B60" s="16" t="s">
        <v>941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3790</v>
      </c>
      <c r="B62" s="82" t="s">
        <v>1092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1018</v>
      </c>
      <c r="R71" s="11" t="s">
        <v>1019</v>
      </c>
      <c r="S71" s="103" t="s">
        <v>1131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1111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952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952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952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952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952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R1" activePane="topRight" state="frozen"/>
      <selection pane="topRight" activeCell="AD20" sqref="AD20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962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1054</v>
      </c>
      <c r="M1" s="11" t="s">
        <v>971</v>
      </c>
      <c r="N1" s="11" t="s">
        <v>1044</v>
      </c>
      <c r="O1" s="11" t="s">
        <v>973</v>
      </c>
      <c r="P1" s="11" t="s">
        <v>1050</v>
      </c>
      <c r="Q1" s="11" t="s">
        <v>974</v>
      </c>
      <c r="R1" s="11" t="s">
        <v>1003</v>
      </c>
      <c r="S1" s="11" t="s">
        <v>985</v>
      </c>
      <c r="T1" s="11" t="s">
        <v>944</v>
      </c>
      <c r="U1" s="69" t="s">
        <v>1049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958</v>
      </c>
      <c r="AD1" t="s">
        <v>1008</v>
      </c>
      <c r="AE1" t="s">
        <v>1009</v>
      </c>
      <c r="AI1">
        <v>0.51500000000000001</v>
      </c>
      <c r="AJ1" t="s">
        <v>1035</v>
      </c>
      <c r="AL1" t="s">
        <v>1045</v>
      </c>
      <c r="AM1" t="s">
        <v>1046</v>
      </c>
    </row>
    <row r="2" spans="1:39" x14ac:dyDescent="0.25">
      <c r="A2" s="90" t="s">
        <v>968</v>
      </c>
      <c r="B2" s="91">
        <f>$S2/(1+($B$1-$O2+$P2)/36500)^$N2</f>
        <v>72494.327704055133</v>
      </c>
      <c r="C2" s="91">
        <f t="shared" ref="C2:C27" si="0">$S2/(1+($AC$3-$O2+$P2)/36500)^$N2</f>
        <v>77864.34784107712</v>
      </c>
      <c r="D2" s="91">
        <f t="shared" ref="D2:D27" si="1">$S2/(1+($AC$4-$O2+$P2)/36500)^$N2</f>
        <v>78329.453999776772</v>
      </c>
      <c r="E2" s="91">
        <f t="shared" ref="E2:E27" si="2">$S2/(1+($AC$5-$O2+$P2)/36500)^$N2</f>
        <v>78797.344796327743</v>
      </c>
      <c r="F2" s="91">
        <f t="shared" ref="F2:F27" si="3">$S2/(1+($AC$6-$O2+$P2)/36500)^$N2</f>
        <v>79268.036941118262</v>
      </c>
      <c r="G2" s="91">
        <f t="shared" ref="G2:G27" si="4">$S2/(1+($AC$7-$O2+$P2)/36500)^$N2</f>
        <v>79741.547245022623</v>
      </c>
      <c r="H2" s="91">
        <f t="shared" ref="H2:H27" si="5">$S2/(1+($AC$8-$O2+$P2)/36500)^$N2</f>
        <v>80217.892620051847</v>
      </c>
      <c r="I2" s="91">
        <f t="shared" ref="I2:I27" si="6">$S2/(1+($AC$9-$O2+$P2)/36500)^$N2</f>
        <v>80697.090079923189</v>
      </c>
      <c r="J2" s="91">
        <f t="shared" ref="J2:J27" si="7">$S2/(1+($AC$10-$O2+$P2)/36500)^$N2</f>
        <v>81179.156740698614</v>
      </c>
      <c r="K2" s="91">
        <f t="shared" ref="K2:K27" si="8">$S2/(1+($AC$11-$O2+$P2)/36500)^$N2</f>
        <v>81664.109821407823</v>
      </c>
      <c r="L2" s="91">
        <f t="shared" ref="L2:L27" si="9">$S2/(1+($AC$5-$O2+$P2)/36500)^$N2</f>
        <v>78797.344796327743</v>
      </c>
      <c r="M2" s="90" t="s">
        <v>994</v>
      </c>
      <c r="N2" s="90">
        <f>601-$AD$19</f>
        <v>435</v>
      </c>
      <c r="O2" s="90">
        <v>0</v>
      </c>
      <c r="P2" s="90">
        <v>0</v>
      </c>
      <c r="Q2" s="90">
        <v>0</v>
      </c>
      <c r="R2" s="90">
        <f t="shared" ref="R2:R27" si="10">N2/30.5</f>
        <v>14.262295081967213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1036</v>
      </c>
    </row>
    <row r="3" spans="1:39" x14ac:dyDescent="0.25">
      <c r="A3" s="94" t="s">
        <v>969</v>
      </c>
      <c r="B3" s="91">
        <f t="shared" ref="B3:B27" si="13">$S3/(1+($B$1-$O3+$P3)/36500)^$N3</f>
        <v>74010.945324242843</v>
      </c>
      <c r="C3" s="95">
        <f t="shared" si="0"/>
        <v>79128.502030715972</v>
      </c>
      <c r="D3" s="95">
        <f t="shared" si="1"/>
        <v>79570.650590065037</v>
      </c>
      <c r="E3" s="95">
        <f t="shared" si="2"/>
        <v>80015.275859638554</v>
      </c>
      <c r="F3" s="95">
        <f t="shared" si="3"/>
        <v>80462.391747017551</v>
      </c>
      <c r="G3" s="95">
        <f t="shared" si="4"/>
        <v>80912.012238049705</v>
      </c>
      <c r="H3" s="95">
        <f t="shared" si="5"/>
        <v>81364.151397333437</v>
      </c>
      <c r="I3" s="95">
        <f t="shared" si="6"/>
        <v>81818.823368624173</v>
      </c>
      <c r="J3" s="95">
        <f t="shared" si="7"/>
        <v>82276.042375305027</v>
      </c>
      <c r="K3" s="95">
        <f t="shared" si="8"/>
        <v>82735.822720842072</v>
      </c>
      <c r="L3" s="95">
        <f t="shared" si="9"/>
        <v>80015.275859638554</v>
      </c>
      <c r="M3" s="94" t="s">
        <v>995</v>
      </c>
      <c r="N3" s="94">
        <f>573-$AD$19</f>
        <v>407</v>
      </c>
      <c r="O3" s="94">
        <v>0</v>
      </c>
      <c r="P3" s="94">
        <v>0</v>
      </c>
      <c r="Q3" s="94">
        <v>0</v>
      </c>
      <c r="R3" s="94">
        <f t="shared" si="10"/>
        <v>13.344262295081966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 x14ac:dyDescent="0.25">
      <c r="A4" s="90" t="s">
        <v>970</v>
      </c>
      <c r="B4" s="91">
        <f t="shared" si="13"/>
        <v>91508.867320651203</v>
      </c>
      <c r="C4" s="91">
        <f t="shared" si="0"/>
        <v>93330.685422003415</v>
      </c>
      <c r="D4" s="91">
        <f t="shared" si="1"/>
        <v>93484.144582608991</v>
      </c>
      <c r="E4" s="91">
        <f t="shared" si="2"/>
        <v>93637.858174933819</v>
      </c>
      <c r="F4" s="91">
        <f t="shared" si="3"/>
        <v>93791.826624315407</v>
      </c>
      <c r="G4" s="91">
        <f t="shared" si="4"/>
        <v>93946.050356800741</v>
      </c>
      <c r="H4" s="91">
        <f t="shared" si="5"/>
        <v>94100.529799162323</v>
      </c>
      <c r="I4" s="91">
        <f t="shared" si="6"/>
        <v>94255.265378886121</v>
      </c>
      <c r="J4" s="91">
        <f t="shared" si="7"/>
        <v>94410.257524181026</v>
      </c>
      <c r="K4" s="91">
        <f t="shared" si="8"/>
        <v>94565.506663982203</v>
      </c>
      <c r="L4" s="91">
        <f t="shared" si="9"/>
        <v>93637.858174933819</v>
      </c>
      <c r="M4" s="90" t="s">
        <v>997</v>
      </c>
      <c r="N4" s="90">
        <f>286-$AD$19</f>
        <v>120</v>
      </c>
      <c r="O4" s="90">
        <v>0</v>
      </c>
      <c r="P4" s="90">
        <v>0</v>
      </c>
      <c r="Q4" s="90">
        <v>0</v>
      </c>
      <c r="R4" s="90">
        <f t="shared" si="10"/>
        <v>3.9344262295081966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 x14ac:dyDescent="0.25">
      <c r="A5" s="92" t="s">
        <v>986</v>
      </c>
      <c r="B5" s="91">
        <f t="shared" si="13"/>
        <v>79927.187086633727</v>
      </c>
      <c r="C5" s="93">
        <f t="shared" si="0"/>
        <v>84006.27924860669</v>
      </c>
      <c r="D5" s="93">
        <f t="shared" si="1"/>
        <v>84355.488550773691</v>
      </c>
      <c r="E5" s="93">
        <f t="shared" si="2"/>
        <v>84706.154306925586</v>
      </c>
      <c r="F5" s="93">
        <f t="shared" si="3"/>
        <v>85058.282611596456</v>
      </c>
      <c r="G5" s="93">
        <f t="shared" si="4"/>
        <v>85411.879584890194</v>
      </c>
      <c r="H5" s="93">
        <f t="shared" si="5"/>
        <v>85766.951372621697</v>
      </c>
      <c r="I5" s="93">
        <f t="shared" si="6"/>
        <v>86123.504146395033</v>
      </c>
      <c r="J5" s="93">
        <f t="shared" si="7"/>
        <v>86481.544103731241</v>
      </c>
      <c r="K5" s="93">
        <f t="shared" si="8"/>
        <v>86841.077468181596</v>
      </c>
      <c r="L5" s="93">
        <f t="shared" si="9"/>
        <v>84706.154306925586</v>
      </c>
      <c r="M5" s="92" t="s">
        <v>996</v>
      </c>
      <c r="N5" s="92">
        <f>469-$AD$19</f>
        <v>303</v>
      </c>
      <c r="O5" s="92">
        <v>0</v>
      </c>
      <c r="P5" s="92">
        <v>0</v>
      </c>
      <c r="Q5" s="92">
        <v>0</v>
      </c>
      <c r="R5" s="92">
        <f t="shared" si="10"/>
        <v>9.9344262295081975</v>
      </c>
      <c r="S5" s="93">
        <v>100000</v>
      </c>
      <c r="T5" s="93">
        <v>78300</v>
      </c>
      <c r="U5" s="93">
        <f t="shared" si="11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952</v>
      </c>
      <c r="AC5">
        <v>20</v>
      </c>
    </row>
    <row r="6" spans="1:39" x14ac:dyDescent="0.25">
      <c r="A6" s="94" t="s">
        <v>987</v>
      </c>
      <c r="B6" s="91">
        <f t="shared" si="13"/>
        <v>79927.187086633727</v>
      </c>
      <c r="C6" s="95">
        <f t="shared" si="0"/>
        <v>84006.27924860669</v>
      </c>
      <c r="D6" s="95">
        <f t="shared" si="1"/>
        <v>84355.488550773691</v>
      </c>
      <c r="E6" s="95">
        <f t="shared" si="2"/>
        <v>84706.154306925586</v>
      </c>
      <c r="F6" s="95">
        <f t="shared" si="3"/>
        <v>85058.282611596456</v>
      </c>
      <c r="G6" s="95">
        <f t="shared" si="4"/>
        <v>85411.879584890194</v>
      </c>
      <c r="H6" s="95">
        <f t="shared" si="5"/>
        <v>85766.951372621697</v>
      </c>
      <c r="I6" s="95">
        <f t="shared" si="6"/>
        <v>86123.504146395033</v>
      </c>
      <c r="J6" s="95">
        <f t="shared" si="7"/>
        <v>86481.544103731241</v>
      </c>
      <c r="K6" s="95">
        <f t="shared" si="8"/>
        <v>86841.077468181596</v>
      </c>
      <c r="L6" s="95">
        <f t="shared" si="9"/>
        <v>84706.154306925586</v>
      </c>
      <c r="M6" s="94" t="s">
        <v>996</v>
      </c>
      <c r="N6" s="94">
        <f>469-$AD$19</f>
        <v>303</v>
      </c>
      <c r="O6" s="94">
        <v>0</v>
      </c>
      <c r="P6" s="94">
        <v>0</v>
      </c>
      <c r="Q6" s="94">
        <v>0</v>
      </c>
      <c r="R6" s="94">
        <f t="shared" si="10"/>
        <v>9.9344262295081975</v>
      </c>
      <c r="S6" s="95">
        <v>100000</v>
      </c>
      <c r="T6" s="95">
        <v>77700</v>
      </c>
      <c r="U6" s="95">
        <f t="shared" si="11"/>
        <v>100000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 x14ac:dyDescent="0.25">
      <c r="A7" s="90" t="s">
        <v>988</v>
      </c>
      <c r="B7" s="91">
        <f t="shared" si="13"/>
        <v>71377.294628574615</v>
      </c>
      <c r="C7" s="91">
        <f t="shared" si="0"/>
        <v>76929.503612245229</v>
      </c>
      <c r="D7" s="91">
        <f t="shared" si="1"/>
        <v>77411.278823630317</v>
      </c>
      <c r="E7" s="91">
        <f t="shared" si="2"/>
        <v>77896.077836591649</v>
      </c>
      <c r="F7" s="91">
        <f t="shared" si="3"/>
        <v>78383.919671440424</v>
      </c>
      <c r="G7" s="91">
        <f t="shared" si="4"/>
        <v>78874.82346836901</v>
      </c>
      <c r="H7" s="91">
        <f t="shared" si="5"/>
        <v>79368.808488254756</v>
      </c>
      <c r="I7" s="91">
        <f t="shared" si="6"/>
        <v>79865.894113380797</v>
      </c>
      <c r="J7" s="91">
        <f t="shared" si="7"/>
        <v>80366.099848229351</v>
      </c>
      <c r="K7" s="91">
        <f t="shared" si="8"/>
        <v>80869.445320260129</v>
      </c>
      <c r="L7" s="91">
        <f t="shared" si="9"/>
        <v>77896.077836591649</v>
      </c>
      <c r="M7" s="90" t="s">
        <v>1000</v>
      </c>
      <c r="N7" s="90">
        <f>622-$AD$19</f>
        <v>456</v>
      </c>
      <c r="O7" s="90">
        <v>0</v>
      </c>
      <c r="P7" s="90">
        <v>0</v>
      </c>
      <c r="Q7" s="90">
        <v>0</v>
      </c>
      <c r="R7" s="90">
        <f t="shared" si="10"/>
        <v>14.950819672131148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 x14ac:dyDescent="0.25">
      <c r="A8" s="94" t="s">
        <v>989</v>
      </c>
      <c r="B8" s="91">
        <f t="shared" si="13"/>
        <v>68128.409863930807</v>
      </c>
      <c r="C8" s="95">
        <f t="shared" si="0"/>
        <v>74191.776318703094</v>
      </c>
      <c r="D8" s="95">
        <f t="shared" si="1"/>
        <v>74720.827036260584</v>
      </c>
      <c r="E8" s="95">
        <f t="shared" si="2"/>
        <v>75253.657658035081</v>
      </c>
      <c r="F8" s="95">
        <f t="shared" si="3"/>
        <v>75790.295242595341</v>
      </c>
      <c r="G8" s="95">
        <f t="shared" si="4"/>
        <v>76330.767042558495</v>
      </c>
      <c r="H8" s="95">
        <f t="shared" si="5"/>
        <v>76875.100506035917</v>
      </c>
      <c r="I8" s="95">
        <f t="shared" si="6"/>
        <v>77423.323277991934</v>
      </c>
      <c r="J8" s="95">
        <f t="shared" si="7"/>
        <v>77975.463201687628</v>
      </c>
      <c r="K8" s="95">
        <f t="shared" si="8"/>
        <v>78531.548320112823</v>
      </c>
      <c r="L8" s="95">
        <f t="shared" si="9"/>
        <v>75253.657658035081</v>
      </c>
      <c r="M8" s="94" t="s">
        <v>1001</v>
      </c>
      <c r="N8" s="94">
        <f>685-$AD$19</f>
        <v>519</v>
      </c>
      <c r="O8" s="94">
        <v>0</v>
      </c>
      <c r="P8" s="94">
        <v>0</v>
      </c>
      <c r="Q8" s="94">
        <v>0</v>
      </c>
      <c r="R8" s="94">
        <f t="shared" si="10"/>
        <v>17.016393442622952</v>
      </c>
      <c r="S8" s="95">
        <v>100000</v>
      </c>
      <c r="T8" s="95">
        <v>70000</v>
      </c>
      <c r="U8" s="95">
        <f t="shared" si="11"/>
        <v>100000.00000000001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 x14ac:dyDescent="0.25">
      <c r="A9" s="90" t="s">
        <v>990</v>
      </c>
      <c r="B9" s="91">
        <f t="shared" si="13"/>
        <v>69553.690297688459</v>
      </c>
      <c r="C9" s="91">
        <f t="shared" si="0"/>
        <v>75396.305059654784</v>
      </c>
      <c r="D9" s="91">
        <f t="shared" si="1"/>
        <v>75904.841873657395</v>
      </c>
      <c r="E9" s="91">
        <f t="shared" si="2"/>
        <v>76416.815725434193</v>
      </c>
      <c r="F9" s="91">
        <f t="shared" si="3"/>
        <v>76932.24989237127</v>
      </c>
      <c r="G9" s="91">
        <f t="shared" si="4"/>
        <v>77451.167809798382</v>
      </c>
      <c r="H9" s="91">
        <f t="shared" si="5"/>
        <v>77973.593072112388</v>
      </c>
      <c r="I9" s="91">
        <f t="shared" si="6"/>
        <v>78499.549433814434</v>
      </c>
      <c r="J9" s="91">
        <f t="shared" si="7"/>
        <v>79029.060810626965</v>
      </c>
      <c r="K9" s="91">
        <f t="shared" si="8"/>
        <v>79562.151280596532</v>
      </c>
      <c r="L9" s="91">
        <f t="shared" si="9"/>
        <v>76416.815725434193</v>
      </c>
      <c r="M9" s="90" t="s">
        <v>1002</v>
      </c>
      <c r="N9" s="90">
        <f>657-$AD$19</f>
        <v>491</v>
      </c>
      <c r="O9" s="90">
        <v>0</v>
      </c>
      <c r="P9" s="90">
        <v>0</v>
      </c>
      <c r="Q9" s="90">
        <v>0</v>
      </c>
      <c r="R9" s="90">
        <f t="shared" si="10"/>
        <v>16.098360655737704</v>
      </c>
      <c r="S9" s="91">
        <v>100000</v>
      </c>
      <c r="T9" s="91">
        <v>70700</v>
      </c>
      <c r="U9" s="91">
        <f t="shared" si="11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 x14ac:dyDescent="0.25">
      <c r="A10" s="92" t="s">
        <v>991</v>
      </c>
      <c r="B10" s="91">
        <f t="shared" si="13"/>
        <v>69553.690297688459</v>
      </c>
      <c r="C10" s="93">
        <f t="shared" si="0"/>
        <v>75396.305059654784</v>
      </c>
      <c r="D10" s="93">
        <f t="shared" si="1"/>
        <v>75904.841873657395</v>
      </c>
      <c r="E10" s="93">
        <f t="shared" si="2"/>
        <v>76416.815725434193</v>
      </c>
      <c r="F10" s="93">
        <f t="shared" si="3"/>
        <v>76932.24989237127</v>
      </c>
      <c r="G10" s="93">
        <f t="shared" si="4"/>
        <v>77451.167809798382</v>
      </c>
      <c r="H10" s="93">
        <f t="shared" si="5"/>
        <v>77973.593072112388</v>
      </c>
      <c r="I10" s="93">
        <f t="shared" si="6"/>
        <v>78499.549433814434</v>
      </c>
      <c r="J10" s="93">
        <f t="shared" si="7"/>
        <v>79029.060810626965</v>
      </c>
      <c r="K10" s="93">
        <f t="shared" si="8"/>
        <v>79562.151280596532</v>
      </c>
      <c r="L10" s="93">
        <f t="shared" si="9"/>
        <v>76416.815725434193</v>
      </c>
      <c r="M10" s="92" t="s">
        <v>1002</v>
      </c>
      <c r="N10" s="92">
        <f>657-$AD$19</f>
        <v>491</v>
      </c>
      <c r="O10" s="92">
        <v>0</v>
      </c>
      <c r="P10" s="92">
        <v>0</v>
      </c>
      <c r="Q10" s="92">
        <v>0</v>
      </c>
      <c r="R10" s="92">
        <f t="shared" si="10"/>
        <v>16.098360655737704</v>
      </c>
      <c r="S10" s="93">
        <v>100000</v>
      </c>
      <c r="T10" s="93">
        <v>71000</v>
      </c>
      <c r="U10" s="93">
        <f t="shared" si="11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 x14ac:dyDescent="0.25">
      <c r="A11" s="94" t="s">
        <v>992</v>
      </c>
      <c r="B11" s="91">
        <f t="shared" si="13"/>
        <v>72494.327704055133</v>
      </c>
      <c r="C11" s="95">
        <f t="shared" si="0"/>
        <v>77864.34784107712</v>
      </c>
      <c r="D11" s="95">
        <f t="shared" si="1"/>
        <v>78329.453999776772</v>
      </c>
      <c r="E11" s="95">
        <f t="shared" si="2"/>
        <v>78797.344796327743</v>
      </c>
      <c r="F11" s="95">
        <f t="shared" si="3"/>
        <v>79268.036941118262</v>
      </c>
      <c r="G11" s="95">
        <f>$S11/(1+($AC$7-$O11+$P11)/36500)^$N11</f>
        <v>79741.547245022623</v>
      </c>
      <c r="H11" s="95">
        <f t="shared" si="5"/>
        <v>80217.892620051847</v>
      </c>
      <c r="I11" s="95">
        <f t="shared" si="6"/>
        <v>80697.090079923189</v>
      </c>
      <c r="J11" s="95">
        <f t="shared" si="7"/>
        <v>81179.156740698614</v>
      </c>
      <c r="K11" s="95">
        <f t="shared" si="8"/>
        <v>81664.109821407823</v>
      </c>
      <c r="L11" s="95">
        <f t="shared" si="9"/>
        <v>78797.344796327743</v>
      </c>
      <c r="M11" s="94" t="s">
        <v>994</v>
      </c>
      <c r="N11" s="94">
        <f>601-$AD$19</f>
        <v>435</v>
      </c>
      <c r="O11" s="94">
        <v>0</v>
      </c>
      <c r="P11" s="94">
        <v>0</v>
      </c>
      <c r="Q11" s="94">
        <v>0</v>
      </c>
      <c r="R11" s="94">
        <f t="shared" si="10"/>
        <v>14.262295081967213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 x14ac:dyDescent="0.25">
      <c r="A12" s="169" t="s">
        <v>3886</v>
      </c>
      <c r="B12" s="91">
        <f t="shared" si="13"/>
        <v>77425.764394188227</v>
      </c>
      <c r="C12" s="171">
        <f t="shared" si="0"/>
        <v>81954.067440935964</v>
      </c>
      <c r="D12" s="171">
        <f t="shared" si="1"/>
        <v>82343.207524577068</v>
      </c>
      <c r="E12" s="171">
        <f t="shared" si="2"/>
        <v>82734.200716323394</v>
      </c>
      <c r="F12" s="171">
        <f t="shared" si="3"/>
        <v>83127.055866346796</v>
      </c>
      <c r="G12" s="171">
        <f t="shared" si="4"/>
        <v>83521.781867189682</v>
      </c>
      <c r="H12" s="171">
        <f t="shared" si="5"/>
        <v>83918.387654005695</v>
      </c>
      <c r="I12" s="171">
        <f t="shared" si="6"/>
        <v>84316.882204731097</v>
      </c>
      <c r="J12" s="171">
        <f t="shared" si="7"/>
        <v>84717.274540311206</v>
      </c>
      <c r="K12" s="171">
        <f t="shared" si="8"/>
        <v>85119.573724912145</v>
      </c>
      <c r="L12" s="171">
        <f t="shared" si="9"/>
        <v>82734.200716323394</v>
      </c>
      <c r="M12" s="169" t="s">
        <v>3887</v>
      </c>
      <c r="N12" s="169">
        <f>512-$AD$19</f>
        <v>346</v>
      </c>
      <c r="O12" s="169">
        <v>0</v>
      </c>
      <c r="P12" s="169">
        <v>0</v>
      </c>
      <c r="Q12" s="169">
        <v>0</v>
      </c>
      <c r="R12" s="169">
        <f t="shared" si="10"/>
        <v>11.344262295081966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 x14ac:dyDescent="0.25">
      <c r="A13" s="94" t="s">
        <v>3941</v>
      </c>
      <c r="B13" s="91">
        <f t="shared" si="13"/>
        <v>58892.994781507499</v>
      </c>
      <c r="C13" s="95">
        <f>$S13/(1+($AC$3-$O13+$P13)/36500)^$N13</f>
        <v>66243.903623805134</v>
      </c>
      <c r="D13" s="95">
        <f t="shared" si="1"/>
        <v>66896.462365755491</v>
      </c>
      <c r="E13" s="95">
        <f t="shared" si="2"/>
        <v>67555.458432330284</v>
      </c>
      <c r="F13" s="95">
        <f t="shared" si="3"/>
        <v>68220.955415542368</v>
      </c>
      <c r="G13" s="95">
        <f t="shared" si="4"/>
        <v>68893.017536458676</v>
      </c>
      <c r="H13" s="95">
        <f t="shared" si="5"/>
        <v>69571.709651495956</v>
      </c>
      <c r="I13" s="95">
        <f t="shared" si="6"/>
        <v>70257.097258657377</v>
      </c>
      <c r="J13" s="95">
        <f t="shared" si="7"/>
        <v>70949.246503924805</v>
      </c>
      <c r="K13" s="95">
        <f t="shared" si="8"/>
        <v>71648.224187687039</v>
      </c>
      <c r="L13" s="95">
        <f t="shared" si="9"/>
        <v>67555.458432330284</v>
      </c>
      <c r="M13" s="94" t="s">
        <v>3942</v>
      </c>
      <c r="N13" s="94">
        <f>882-$AD$19</f>
        <v>716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 x14ac:dyDescent="0.25">
      <c r="A14" s="94" t="s">
        <v>3996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 x14ac:dyDescent="0.25">
      <c r="A15" s="90" t="s">
        <v>1006</v>
      </c>
      <c r="B15" s="91">
        <f t="shared" si="13"/>
        <v>70087.830130685237</v>
      </c>
      <c r="C15" s="91">
        <f t="shared" si="0"/>
        <v>85803.821350086422</v>
      </c>
      <c r="D15" s="91">
        <f t="shared" si="1"/>
        <v>87262.82793619101</v>
      </c>
      <c r="E15" s="91">
        <f t="shared" si="2"/>
        <v>88746.663939194332</v>
      </c>
      <c r="F15" s="91">
        <f t="shared" si="3"/>
        <v>90255.752255597879</v>
      </c>
      <c r="G15" s="91">
        <f t="shared" si="4"/>
        <v>91790.522990731915</v>
      </c>
      <c r="H15" s="91">
        <f t="shared" si="5"/>
        <v>93351.413581670873</v>
      </c>
      <c r="I15" s="91">
        <f t="shared" si="6"/>
        <v>94938.868922173206</v>
      </c>
      <c r="J15" s="91">
        <f t="shared" si="7"/>
        <v>96553.341490204388</v>
      </c>
      <c r="K15" s="91">
        <f t="shared" si="8"/>
        <v>98195.291477007675</v>
      </c>
      <c r="L15" s="91">
        <f t="shared" si="9"/>
        <v>88746.663939194332</v>
      </c>
      <c r="M15" s="90" t="s">
        <v>1007</v>
      </c>
      <c r="N15" s="90">
        <f>1397-$AD$19</f>
        <v>1231</v>
      </c>
      <c r="O15" s="90">
        <v>17</v>
      </c>
      <c r="P15" s="90">
        <f>$AI$2</f>
        <v>0.54</v>
      </c>
      <c r="Q15" s="90">
        <v>6</v>
      </c>
      <c r="R15" s="90">
        <f t="shared" si="10"/>
        <v>40.360655737704917</v>
      </c>
      <c r="S15" s="91">
        <v>100000</v>
      </c>
      <c r="T15" s="91">
        <v>96000</v>
      </c>
      <c r="U15" s="91">
        <f t="shared" si="11"/>
        <v>174167.11671137923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2" t="s">
        <v>963</v>
      </c>
      <c r="B16" s="91">
        <f t="shared" si="13"/>
        <v>93143.028385315847</v>
      </c>
      <c r="C16" s="93">
        <f t="shared" si="0"/>
        <v>99440.016105692775</v>
      </c>
      <c r="D16" s="93">
        <f>$S16/(1+($AC$4-$O16+$P16)/36500)^$N16</f>
        <v>99983.645176526436</v>
      </c>
      <c r="E16" s="93">
        <f t="shared" si="2"/>
        <v>100530.25372372908</v>
      </c>
      <c r="F16" s="93">
        <f t="shared" si="3"/>
        <v>101079.85811812186</v>
      </c>
      <c r="G16" s="93">
        <f t="shared" si="4"/>
        <v>101632.47482069144</v>
      </c>
      <c r="H16" s="93">
        <f t="shared" si="5"/>
        <v>102188.12038310744</v>
      </c>
      <c r="I16" s="93">
        <f t="shared" si="6"/>
        <v>102746.8114481973</v>
      </c>
      <c r="J16" s="93">
        <f t="shared" si="7"/>
        <v>103308.56475048793</v>
      </c>
      <c r="K16" s="93">
        <f t="shared" si="8"/>
        <v>103873.39711668009</v>
      </c>
      <c r="L16" s="93">
        <f t="shared" si="9"/>
        <v>100530.25372372908</v>
      </c>
      <c r="M16" s="92" t="s">
        <v>978</v>
      </c>
      <c r="N16" s="92">
        <f>564-$AD$19</f>
        <v>398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13.049180327868852</v>
      </c>
      <c r="S16" s="93">
        <v>100000</v>
      </c>
      <c r="T16" s="93">
        <v>100000</v>
      </c>
      <c r="U16" s="93">
        <f t="shared" si="11"/>
        <v>125015.58033464268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 x14ac:dyDescent="0.25">
      <c r="A17" s="94" t="s">
        <v>964</v>
      </c>
      <c r="B17" s="91">
        <f t="shared" si="13"/>
        <v>87730.258348926582</v>
      </c>
      <c r="C17" s="95">
        <f t="shared" si="0"/>
        <v>93922.514472013703</v>
      </c>
      <c r="D17" s="95">
        <f t="shared" si="1"/>
        <v>94457.90068138577</v>
      </c>
      <c r="E17" s="95">
        <f t="shared" si="2"/>
        <v>94996.346146949305</v>
      </c>
      <c r="F17" s="95">
        <f t="shared" si="3"/>
        <v>95537.86839187477</v>
      </c>
      <c r="G17" s="95">
        <f t="shared" si="4"/>
        <v>96082.485039984414</v>
      </c>
      <c r="H17" s="95">
        <f t="shared" si="5"/>
        <v>96630.213816261297</v>
      </c>
      <c r="I17" s="95">
        <f t="shared" si="6"/>
        <v>97181.072547484189</v>
      </c>
      <c r="J17" s="95">
        <f t="shared" si="7"/>
        <v>97735.079162796115</v>
      </c>
      <c r="K17" s="95">
        <f t="shared" si="8"/>
        <v>98292.251694267732</v>
      </c>
      <c r="L17" s="95">
        <f t="shared" si="9"/>
        <v>94996.346146949305</v>
      </c>
      <c r="M17" s="94" t="s">
        <v>979</v>
      </c>
      <c r="N17" s="94">
        <f>581-$AD$19</f>
        <v>415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13.60655737704918</v>
      </c>
      <c r="S17" s="95">
        <v>100000</v>
      </c>
      <c r="T17" s="95">
        <v>92000</v>
      </c>
      <c r="U17" s="95">
        <f t="shared" si="11"/>
        <v>119240.16772293586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 x14ac:dyDescent="0.25">
      <c r="A18" s="90" t="s">
        <v>957</v>
      </c>
      <c r="B18" s="91">
        <f t="shared" si="13"/>
        <v>92003.012676587488</v>
      </c>
      <c r="C18" s="91">
        <f t="shared" si="0"/>
        <v>99343.252912901808</v>
      </c>
      <c r="D18" s="91">
        <f t="shared" si="1"/>
        <v>99980.810064627702</v>
      </c>
      <c r="E18" s="91">
        <f t="shared" si="2"/>
        <v>100622.46769735483</v>
      </c>
      <c r="F18" s="91">
        <f t="shared" si="3"/>
        <v>101268.25224025641</v>
      </c>
      <c r="G18" s="91">
        <f t="shared" si="4"/>
        <v>101918.19029320504</v>
      </c>
      <c r="H18" s="91">
        <f t="shared" si="5"/>
        <v>102572.30862790043</v>
      </c>
      <c r="I18" s="91">
        <f t="shared" si="6"/>
        <v>103230.63418895133</v>
      </c>
      <c r="J18" s="91">
        <f t="shared" si="7"/>
        <v>103893.19409503974</v>
      </c>
      <c r="K18" s="91">
        <f t="shared" si="8"/>
        <v>104560.01564001017</v>
      </c>
      <c r="L18" s="91">
        <f t="shared" si="9"/>
        <v>100622.46769735483</v>
      </c>
      <c r="M18" s="90" t="s">
        <v>980</v>
      </c>
      <c r="N18" s="90">
        <f>633-$AD$19</f>
        <v>467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15.311475409836065</v>
      </c>
      <c r="S18" s="91">
        <v>100000</v>
      </c>
      <c r="T18" s="91">
        <v>100000</v>
      </c>
      <c r="U18" s="91">
        <f t="shared" si="11"/>
        <v>129949.46847198604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1004</v>
      </c>
      <c r="AD18" t="s">
        <v>1043</v>
      </c>
      <c r="AF18" s="26"/>
    </row>
    <row r="19" spans="1:32" x14ac:dyDescent="0.25">
      <c r="A19" s="92" t="s">
        <v>950</v>
      </c>
      <c r="B19" s="91">
        <f t="shared" si="13"/>
        <v>90893.171000617556</v>
      </c>
      <c r="C19" s="93">
        <f t="shared" si="0"/>
        <v>99247.9842070499</v>
      </c>
      <c r="D19" s="93">
        <f t="shared" si="1"/>
        <v>99978.01611995975</v>
      </c>
      <c r="E19" s="93">
        <f t="shared" si="2"/>
        <v>100713.42799192901</v>
      </c>
      <c r="F19" s="93">
        <f t="shared" si="3"/>
        <v>101454.25954500859</v>
      </c>
      <c r="G19" s="93">
        <f t="shared" si="4"/>
        <v>102200.55079506669</v>
      </c>
      <c r="H19" s="93">
        <f t="shared" si="5"/>
        <v>102952.3420539925</v>
      </c>
      <c r="I19" s="93">
        <f t="shared" si="6"/>
        <v>103709.67393185513</v>
      </c>
      <c r="J19" s="93">
        <f t="shared" si="7"/>
        <v>104472.58733916526</v>
      </c>
      <c r="K19" s="93">
        <f t="shared" si="8"/>
        <v>105241.1234890584</v>
      </c>
      <c r="L19" s="93">
        <f t="shared" si="9"/>
        <v>100713.42799192901</v>
      </c>
      <c r="M19" s="92" t="s">
        <v>981</v>
      </c>
      <c r="N19" s="92">
        <f>701-$AD$19</f>
        <v>535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17.540983606557376</v>
      </c>
      <c r="S19" s="93">
        <v>100000</v>
      </c>
      <c r="T19" s="93">
        <v>100000</v>
      </c>
      <c r="U19" s="93">
        <f t="shared" si="11"/>
        <v>135002.32413477666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1052</v>
      </c>
      <c r="AD19">
        <v>166</v>
      </c>
      <c r="AF19" s="26"/>
    </row>
    <row r="20" spans="1:32" x14ac:dyDescent="0.25">
      <c r="A20" s="94" t="s">
        <v>965</v>
      </c>
      <c r="B20" s="91">
        <f t="shared" si="13"/>
        <v>86373.796363215792</v>
      </c>
      <c r="C20" s="95">
        <f t="shared" si="0"/>
        <v>94731.9592309906</v>
      </c>
      <c r="D20" s="95">
        <f t="shared" si="1"/>
        <v>95464.014358919652</v>
      </c>
      <c r="E20" s="95">
        <f t="shared" si="2"/>
        <v>96201.736694187595</v>
      </c>
      <c r="F20" s="95">
        <f t="shared" si="3"/>
        <v>96945.170188043019</v>
      </c>
      <c r="G20" s="95">
        <f t="shared" si="4"/>
        <v>97694.359133171849</v>
      </c>
      <c r="H20" s="95">
        <f t="shared" si="5"/>
        <v>98449.348166417054</v>
      </c>
      <c r="I20" s="95">
        <f t="shared" si="6"/>
        <v>99210.18227138462</v>
      </c>
      <c r="J20" s="95">
        <f t="shared" si="7"/>
        <v>99976.906781232028</v>
      </c>
      <c r="K20" s="95">
        <f t="shared" si="8"/>
        <v>100749.56738129559</v>
      </c>
      <c r="L20" s="95">
        <f t="shared" si="9"/>
        <v>96201.736694187595</v>
      </c>
      <c r="M20" s="94" t="s">
        <v>1005</v>
      </c>
      <c r="N20" s="94">
        <f>728-$AD$19</f>
        <v>562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18.42622950819672</v>
      </c>
      <c r="S20" s="95">
        <v>100000</v>
      </c>
      <c r="T20" s="95">
        <v>95000</v>
      </c>
      <c r="U20" s="95">
        <f t="shared" si="11"/>
        <v>130876.83478720645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 x14ac:dyDescent="0.25">
      <c r="A21" s="90" t="s">
        <v>966</v>
      </c>
      <c r="B21" s="91">
        <f t="shared" si="13"/>
        <v>85274.732215676791</v>
      </c>
      <c r="C21" s="91">
        <f t="shared" si="0"/>
        <v>92654.037088000099</v>
      </c>
      <c r="D21" s="91">
        <f t="shared" si="1"/>
        <v>93297.129012524238</v>
      </c>
      <c r="E21" s="91">
        <f t="shared" si="2"/>
        <v>93944.693401225115</v>
      </c>
      <c r="F21" s="91">
        <f t="shared" si="3"/>
        <v>94596.761420294846</v>
      </c>
      <c r="G21" s="91">
        <f t="shared" si="4"/>
        <v>95253.364453583592</v>
      </c>
      <c r="H21" s="91">
        <f t="shared" si="5"/>
        <v>95914.534104037812</v>
      </c>
      <c r="I21" s="91">
        <f t="shared" si="6"/>
        <v>96580.302195296099</v>
      </c>
      <c r="J21" s="91">
        <f t="shared" si="7"/>
        <v>97250.700773212855</v>
      </c>
      <c r="K21" s="91">
        <f t="shared" si="8"/>
        <v>97925.762107381699</v>
      </c>
      <c r="L21" s="91">
        <f t="shared" si="9"/>
        <v>93944.693401225115</v>
      </c>
      <c r="M21" s="90" t="s">
        <v>982</v>
      </c>
      <c r="N21" s="90">
        <f>671-$AD$19</f>
        <v>505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16.557377049180328</v>
      </c>
      <c r="S21" s="91">
        <v>100000</v>
      </c>
      <c r="T21" s="91">
        <v>90600</v>
      </c>
      <c r="U21" s="91">
        <f t="shared" si="11"/>
        <v>123878.56030598399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 x14ac:dyDescent="0.25">
      <c r="A22" s="92" t="s">
        <v>967</v>
      </c>
      <c r="B22" s="91">
        <f t="shared" si="13"/>
        <v>75478.022698108267</v>
      </c>
      <c r="C22" s="93">
        <f t="shared" si="0"/>
        <v>86352.389978258972</v>
      </c>
      <c r="D22" s="93">
        <f>$S22/(1+($AC$4-$O22+$P22)/36500)^$N22</f>
        <v>87326.478979098873</v>
      </c>
      <c r="E22" s="93">
        <f t="shared" si="2"/>
        <v>88311.569655744708</v>
      </c>
      <c r="F22" s="93">
        <f t="shared" si="3"/>
        <v>89307.786417927535</v>
      </c>
      <c r="G22" s="93">
        <f t="shared" si="4"/>
        <v>90315.255083988188</v>
      </c>
      <c r="H22" s="93">
        <f t="shared" si="5"/>
        <v>91334.102896756725</v>
      </c>
      <c r="I22" s="93">
        <f t="shared" si="6"/>
        <v>92364.458539847226</v>
      </c>
      <c r="J22" s="93">
        <f t="shared" si="7"/>
        <v>93406.452153839593</v>
      </c>
      <c r="K22" s="93">
        <f t="shared" si="8"/>
        <v>94460.215352927087</v>
      </c>
      <c r="L22" s="93">
        <f t="shared" si="9"/>
        <v>88311.569655744708</v>
      </c>
      <c r="M22" s="92" t="s">
        <v>983</v>
      </c>
      <c r="N22" s="92">
        <f>985-$AD$19</f>
        <v>819</v>
      </c>
      <c r="O22" s="92">
        <v>15</v>
      </c>
      <c r="P22" s="92">
        <f>$AI$2</f>
        <v>0.54</v>
      </c>
      <c r="Q22" s="92">
        <v>6</v>
      </c>
      <c r="R22" s="92">
        <f t="shared" si="10"/>
        <v>26.852459016393443</v>
      </c>
      <c r="S22" s="93">
        <v>100000</v>
      </c>
      <c r="T22" s="93">
        <v>85800</v>
      </c>
      <c r="U22" s="93">
        <f t="shared" si="11"/>
        <v>138303.86357671689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 x14ac:dyDescent="0.25">
      <c r="A23" s="94" t="s">
        <v>941</v>
      </c>
      <c r="B23" s="91">
        <f t="shared" si="13"/>
        <v>86444.105915771885</v>
      </c>
      <c r="C23" s="95">
        <f t="shared" si="0"/>
        <v>89287.393981838992</v>
      </c>
      <c r="D23" s="95">
        <f t="shared" si="1"/>
        <v>89528.535776634133</v>
      </c>
      <c r="E23" s="95">
        <f t="shared" si="2"/>
        <v>89770.332146928078</v>
      </c>
      <c r="F23" s="95">
        <f t="shared" si="3"/>
        <v>90012.784878559352</v>
      </c>
      <c r="G23" s="95">
        <f t="shared" si="4"/>
        <v>90255.895762251588</v>
      </c>
      <c r="H23" s="95">
        <f t="shared" si="5"/>
        <v>90499.666593650138</v>
      </c>
      <c r="I23" s="95">
        <f t="shared" si="6"/>
        <v>90744.099173315146</v>
      </c>
      <c r="J23" s="95">
        <f t="shared" si="7"/>
        <v>90989.195306747803</v>
      </c>
      <c r="K23" s="95">
        <f t="shared" si="8"/>
        <v>91234.95680440712</v>
      </c>
      <c r="L23" s="95">
        <f t="shared" si="9"/>
        <v>89770.332146928078</v>
      </c>
      <c r="M23" s="94" t="s">
        <v>984</v>
      </c>
      <c r="N23" s="94">
        <f>363-$AD$19</f>
        <v>197</v>
      </c>
      <c r="O23" s="94">
        <v>0</v>
      </c>
      <c r="P23" s="94">
        <v>0</v>
      </c>
      <c r="Q23" s="94">
        <v>0</v>
      </c>
      <c r="R23" s="94">
        <f t="shared" si="10"/>
        <v>6.4590163934426226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953</v>
      </c>
      <c r="AD23" t="s">
        <v>1053</v>
      </c>
      <c r="AE23" s="25"/>
      <c r="AF23" s="26"/>
    </row>
    <row r="24" spans="1:32" x14ac:dyDescent="0.25">
      <c r="A24" s="90" t="s">
        <v>972</v>
      </c>
      <c r="B24" s="91">
        <f>$S24/(1+($B$1-$O24+$P24)/36500)^$N24</f>
        <v>79609.589791679173</v>
      </c>
      <c r="C24" s="91">
        <f t="shared" si="0"/>
        <v>95448.939785655428</v>
      </c>
      <c r="D24" s="91">
        <f t="shared" si="1"/>
        <v>96903.360247276534</v>
      </c>
      <c r="E24" s="91">
        <f t="shared" si="2"/>
        <v>98379.963083437542</v>
      </c>
      <c r="F24" s="91">
        <f t="shared" si="3"/>
        <v>99879.086923768147</v>
      </c>
      <c r="G24" s="91">
        <f t="shared" si="4"/>
        <v>101401.07557202467</v>
      </c>
      <c r="H24" s="91">
        <f t="shared" si="5"/>
        <v>102946.27808529424</v>
      </c>
      <c r="I24" s="91">
        <f t="shared" si="6"/>
        <v>104515.04885428838</v>
      </c>
      <c r="J24" s="91">
        <f t="shared" si="7"/>
        <v>106107.74768491813</v>
      </c>
      <c r="K24" s="91">
        <f t="shared" si="8"/>
        <v>107724.73988116978</v>
      </c>
      <c r="L24" s="91">
        <f t="shared" si="9"/>
        <v>98379.963083437542</v>
      </c>
      <c r="M24" s="90" t="s">
        <v>975</v>
      </c>
      <c r="N24" s="90">
        <f>1270-$AD$19</f>
        <v>1104</v>
      </c>
      <c r="O24" s="90">
        <v>20</v>
      </c>
      <c r="P24" s="90">
        <f>$AI$2</f>
        <v>0.54</v>
      </c>
      <c r="Q24" s="90">
        <v>6</v>
      </c>
      <c r="R24" s="90">
        <f t="shared" si="10"/>
        <v>36.196721311475407</v>
      </c>
      <c r="S24" s="91">
        <v>100000</v>
      </c>
      <c r="T24" s="91">
        <v>100000</v>
      </c>
      <c r="U24" s="91">
        <f t="shared" si="11"/>
        <v>180096.02701728515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2" t="s">
        <v>976</v>
      </c>
      <c r="B25" s="91">
        <f t="shared" si="13"/>
        <v>97199.571633281768</v>
      </c>
      <c r="C25" s="93">
        <f t="shared" si="0"/>
        <v>100250.12216374105</v>
      </c>
      <c r="D25" s="93">
        <f t="shared" si="1"/>
        <v>100508.6385074651</v>
      </c>
      <c r="E25" s="93">
        <f t="shared" si="2"/>
        <v>100767.82504592091</v>
      </c>
      <c r="F25" s="93">
        <f t="shared" si="3"/>
        <v>101027.68352578471</v>
      </c>
      <c r="G25" s="93">
        <f t="shared" si="4"/>
        <v>101288.21569830108</v>
      </c>
      <c r="H25" s="93">
        <f t="shared" si="5"/>
        <v>101549.42331931283</v>
      </c>
      <c r="I25" s="93">
        <f t="shared" si="6"/>
        <v>101811.30814925818</v>
      </c>
      <c r="J25" s="93">
        <f t="shared" si="7"/>
        <v>102073.87195318728</v>
      </c>
      <c r="K25" s="93">
        <f t="shared" si="8"/>
        <v>102337.11650077628</v>
      </c>
      <c r="L25" s="93">
        <f t="shared" si="9"/>
        <v>100767.82504592091</v>
      </c>
      <c r="M25" s="92" t="s">
        <v>977</v>
      </c>
      <c r="N25" s="92">
        <f>354-$AD$19</f>
        <v>188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6.1639344262295079</v>
      </c>
      <c r="S25" s="93">
        <v>100000</v>
      </c>
      <c r="T25" s="93">
        <v>103000</v>
      </c>
      <c r="U25" s="93">
        <f t="shared" si="11"/>
        <v>111696.27827687182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 x14ac:dyDescent="0.25">
      <c r="A26" s="94" t="s">
        <v>998</v>
      </c>
      <c r="B26" s="91">
        <f t="shared" si="13"/>
        <v>90474.57067732609</v>
      </c>
      <c r="C26" s="95">
        <f t="shared" si="0"/>
        <v>100000</v>
      </c>
      <c r="D26" s="95">
        <f t="shared" si="1"/>
        <v>100837.74187104779</v>
      </c>
      <c r="E26" s="95">
        <f t="shared" si="2"/>
        <v>101682.51347714836</v>
      </c>
      <c r="F26" s="95">
        <f t="shared" si="3"/>
        <v>102534.37390437337</v>
      </c>
      <c r="G26" s="95">
        <f t="shared" si="4"/>
        <v>103393.38273620843</v>
      </c>
      <c r="H26" s="95">
        <f t="shared" si="5"/>
        <v>104259.6000578314</v>
      </c>
      <c r="I26" s="95">
        <f t="shared" si="6"/>
        <v>105133.08646025258</v>
      </c>
      <c r="J26" s="95">
        <f t="shared" si="7"/>
        <v>106013.90304463997</v>
      </c>
      <c r="K26" s="95">
        <f t="shared" si="8"/>
        <v>106902.1114265884</v>
      </c>
      <c r="L26" s="95">
        <f t="shared" si="9"/>
        <v>101682.51347714836</v>
      </c>
      <c r="M26" s="94" t="s">
        <v>999</v>
      </c>
      <c r="N26" s="94">
        <f>775-$AD$19</f>
        <v>609</v>
      </c>
      <c r="O26" s="94">
        <v>21</v>
      </c>
      <c r="P26" s="94">
        <v>0</v>
      </c>
      <c r="Q26" s="94">
        <v>1</v>
      </c>
      <c r="R26" s="94">
        <f t="shared" si="10"/>
        <v>19.967213114754099</v>
      </c>
      <c r="S26" s="95">
        <v>100000</v>
      </c>
      <c r="T26" s="95">
        <v>104000</v>
      </c>
      <c r="U26" s="95">
        <f t="shared" si="11"/>
        <v>141938.72299827076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 x14ac:dyDescent="0.25">
      <c r="A27" s="90" t="s">
        <v>1047</v>
      </c>
      <c r="B27" s="91">
        <f t="shared" si="13"/>
        <v>71436.221927563733</v>
      </c>
      <c r="C27" s="91">
        <f t="shared" si="0"/>
        <v>86511.066999166855</v>
      </c>
      <c r="D27" s="91">
        <f t="shared" si="1"/>
        <v>87902.599405114161</v>
      </c>
      <c r="E27" s="91">
        <f t="shared" si="2"/>
        <v>89316.534161909498</v>
      </c>
      <c r="F27" s="91">
        <f t="shared" si="3"/>
        <v>90753.232240373036</v>
      </c>
      <c r="G27" s="91">
        <f t="shared" si="4"/>
        <v>92213.060432818645</v>
      </c>
      <c r="H27" s="91">
        <f t="shared" si="5"/>
        <v>93696.39144695396</v>
      </c>
      <c r="I27" s="91">
        <f t="shared" si="6"/>
        <v>95203.604001227854</v>
      </c>
      <c r="J27" s="91">
        <f t="shared" si="7"/>
        <v>96735.082922144589</v>
      </c>
      <c r="K27" s="91">
        <f t="shared" si="8"/>
        <v>98291.219242552848</v>
      </c>
      <c r="L27" s="91">
        <f t="shared" si="9"/>
        <v>89316.534161909498</v>
      </c>
      <c r="M27" s="90" t="s">
        <v>1048</v>
      </c>
      <c r="N27" s="90">
        <f>1331-$AD$19</f>
        <v>1165</v>
      </c>
      <c r="O27" s="90">
        <v>17</v>
      </c>
      <c r="P27" s="90">
        <f>AI2</f>
        <v>0.54</v>
      </c>
      <c r="Q27" s="90">
        <v>6</v>
      </c>
      <c r="R27" s="90">
        <f t="shared" si="10"/>
        <v>38.196721311475407</v>
      </c>
      <c r="S27" s="91">
        <v>100000</v>
      </c>
      <c r="T27" s="91"/>
      <c r="U27" s="91">
        <f t="shared" si="11"/>
        <v>169062.30046284216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25"/>
      <c r="B29" s="185" t="s">
        <v>4098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 x14ac:dyDescent="0.25">
      <c r="D39" t="s">
        <v>1112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 x14ac:dyDescent="0.25">
      <c r="D40" t="s">
        <v>1113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 x14ac:dyDescent="0.25">
      <c r="D41" t="s">
        <v>1114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 x14ac:dyDescent="0.25">
      <c r="D42" t="s">
        <v>3818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 x14ac:dyDescent="0.25">
      <c r="D43" t="s">
        <v>3819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1060</v>
      </c>
    </row>
    <row r="2" spans="1:1" x14ac:dyDescent="0.25">
      <c r="A2" t="s">
        <v>1061</v>
      </c>
    </row>
    <row r="3" spans="1:1" x14ac:dyDescent="0.25">
      <c r="A3" t="s">
        <v>1062</v>
      </c>
    </row>
    <row r="4" spans="1:1" x14ac:dyDescent="0.25">
      <c r="A4" t="s">
        <v>1063</v>
      </c>
    </row>
    <row r="5" spans="1:1" x14ac:dyDescent="0.25">
      <c r="A5" t="s">
        <v>1064</v>
      </c>
    </row>
    <row r="6" spans="1:1" x14ac:dyDescent="0.25">
      <c r="A6" t="s">
        <v>1095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Z43" workbookViewId="0">
      <selection activeCell="AH57" sqref="AH57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8.8554687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1084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1080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1141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1137</v>
      </c>
      <c r="AC14" s="103" t="s">
        <v>1138</v>
      </c>
      <c r="AD14" s="103" t="s">
        <v>1139</v>
      </c>
      <c r="AE14" s="103" t="s">
        <v>183</v>
      </c>
      <c r="AF14" s="103" t="s">
        <v>956</v>
      </c>
      <c r="AG14" s="103" t="s">
        <v>1140</v>
      </c>
      <c r="AH14" s="103" t="s">
        <v>1149</v>
      </c>
      <c r="AI14" s="103" t="s">
        <v>1142</v>
      </c>
    </row>
    <row r="15" spans="10:35" x14ac:dyDescent="0.25">
      <c r="O15" t="s">
        <v>1082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1143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1144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1145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1146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1147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1148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3727</v>
      </c>
      <c r="AK23" s="103"/>
    </row>
    <row r="24" spans="5:37" x14ac:dyDescent="0.25">
      <c r="T24" t="s">
        <v>25</v>
      </c>
      <c r="AJ24" s="103" t="s">
        <v>3728</v>
      </c>
      <c r="AK24" s="103">
        <v>6145</v>
      </c>
    </row>
    <row r="25" spans="5:37" x14ac:dyDescent="0.25">
      <c r="AJ25" s="103" t="s">
        <v>3734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1093</v>
      </c>
      <c r="W26" s="103" t="s">
        <v>280</v>
      </c>
      <c r="X26" s="103" t="s">
        <v>1084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3738</v>
      </c>
      <c r="AK26" s="103">
        <v>6150</v>
      </c>
    </row>
    <row r="27" spans="5:37" x14ac:dyDescent="0.25">
      <c r="R27" s="103" t="s">
        <v>1218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3741</v>
      </c>
      <c r="AK27" s="103">
        <v>6400</v>
      </c>
    </row>
    <row r="28" spans="5:37" x14ac:dyDescent="0.25">
      <c r="E28" t="s">
        <v>25</v>
      </c>
      <c r="R28" s="103" t="s">
        <v>1085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1273</v>
      </c>
      <c r="J29" s="103" t="s">
        <v>1274</v>
      </c>
      <c r="L29" s="103" t="s">
        <v>1190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3999</v>
      </c>
      <c r="M30" s="103" t="s">
        <v>3718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1161</v>
      </c>
      <c r="M31" s="103" t="s">
        <v>3719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3714</v>
      </c>
      <c r="M32" s="103" t="s">
        <v>3715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1119</v>
      </c>
      <c r="G35" s="96">
        <v>24</v>
      </c>
      <c r="I35" s="138">
        <v>0.5</v>
      </c>
      <c r="J35" s="138">
        <v>1.36</v>
      </c>
      <c r="L35" s="103" t="s">
        <v>3716</v>
      </c>
      <c r="M35" s="103" t="s">
        <v>3709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1118</v>
      </c>
      <c r="G36" s="96">
        <v>21.6</v>
      </c>
      <c r="L36" s="103" t="s">
        <v>3915</v>
      </c>
      <c r="M36" s="103" t="s">
        <v>3710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1120</v>
      </c>
      <c r="G37" s="96">
        <v>31.1</v>
      </c>
      <c r="L37" s="103" t="s">
        <v>3720</v>
      </c>
      <c r="M37" s="103" t="s">
        <v>3721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1121</v>
      </c>
      <c r="G38" s="96">
        <v>8.1329999999999991</v>
      </c>
      <c r="L38" s="59">
        <v>35679</v>
      </c>
      <c r="M38" s="69" t="s">
        <v>3753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1122</v>
      </c>
      <c r="G39" s="96">
        <v>1203</v>
      </c>
      <c r="L39" s="103" t="s">
        <v>3722</v>
      </c>
      <c r="M39" s="103" t="s">
        <v>3723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1123</v>
      </c>
      <c r="G40" s="96">
        <v>10900</v>
      </c>
      <c r="H40">
        <v>375</v>
      </c>
      <c r="L40" s="103" t="s">
        <v>3916</v>
      </c>
      <c r="M40" s="103" t="s">
        <v>3713</v>
      </c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1125</v>
      </c>
      <c r="G41" s="96">
        <v>5000</v>
      </c>
      <c r="L41" s="103"/>
      <c r="M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1124</v>
      </c>
      <c r="G42" s="99">
        <f>G36*G38*G39*G40/(G35*G37)+G41</f>
        <v>3091206.7585208998</v>
      </c>
      <c r="L42" s="103" t="s">
        <v>3724</v>
      </c>
      <c r="M42" s="103" t="s">
        <v>3725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 t="s">
        <v>3717</v>
      </c>
      <c r="M43" s="103" t="s">
        <v>3726</v>
      </c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59">
        <v>35715</v>
      </c>
      <c r="M44" s="103" t="s">
        <v>3754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19"/>
      <c r="AH50" s="103"/>
      <c r="AI50" s="198" t="s">
        <v>1096</v>
      </c>
      <c r="AJ50" s="198"/>
      <c r="AK50" s="198"/>
      <c r="AL50" s="198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1159</v>
      </c>
      <c r="V51" s="103" t="s">
        <v>280</v>
      </c>
      <c r="W51" s="103" t="s">
        <v>1084</v>
      </c>
      <c r="X51" s="103" t="s">
        <v>35</v>
      </c>
      <c r="Y51" s="103" t="s">
        <v>37</v>
      </c>
      <c r="Z51" s="103" t="s">
        <v>1247</v>
      </c>
      <c r="AG51" s="119"/>
      <c r="AH51" s="103"/>
      <c r="AI51" s="198"/>
      <c r="AJ51" s="198"/>
      <c r="AK51" s="198"/>
      <c r="AL51" s="198"/>
    </row>
    <row r="52" spans="1:38" ht="15.75" x14ac:dyDescent="0.25">
      <c r="R52" s="103" t="s">
        <v>1241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6"/>
      <c r="AH52" s="103" t="s">
        <v>4174</v>
      </c>
      <c r="AI52" s="199" t="s">
        <v>1097</v>
      </c>
      <c r="AJ52" s="200" t="s">
        <v>1098</v>
      </c>
      <c r="AK52" s="199" t="s">
        <v>1099</v>
      </c>
      <c r="AL52" s="201" t="s">
        <v>1100</v>
      </c>
    </row>
    <row r="53" spans="1:38" x14ac:dyDescent="0.25">
      <c r="R53" s="103" t="s">
        <v>1085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19"/>
      <c r="AH53" s="103"/>
      <c r="AI53" s="199"/>
      <c r="AJ53" s="200"/>
      <c r="AK53" s="199"/>
      <c r="AL53" s="201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95"/>
      <c r="AH54" s="192">
        <v>2182188588</v>
      </c>
      <c r="AI54" s="193" t="s">
        <v>1101</v>
      </c>
      <c r="AJ54" s="193" t="s">
        <v>4175</v>
      </c>
      <c r="AK54" s="193" t="s">
        <v>4181</v>
      </c>
      <c r="AL54" s="193" t="s">
        <v>1102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95"/>
      <c r="AH55" s="192">
        <v>2126210865</v>
      </c>
      <c r="AI55" s="194" t="s">
        <v>1103</v>
      </c>
      <c r="AJ55" s="194" t="s">
        <v>1104</v>
      </c>
      <c r="AK55" s="194" t="s">
        <v>1105</v>
      </c>
      <c r="AL55" s="194" t="s">
        <v>1106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95"/>
      <c r="AH56" s="192">
        <v>2188831909</v>
      </c>
      <c r="AI56" s="103" t="s">
        <v>4178</v>
      </c>
      <c r="AJ56" s="103" t="s">
        <v>4179</v>
      </c>
      <c r="AK56" s="103" t="s">
        <v>4180</v>
      </c>
      <c r="AL56" s="197" t="s">
        <v>4182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4165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1251</v>
      </c>
      <c r="F63" s="136" t="s">
        <v>1124</v>
      </c>
      <c r="G63" s="114">
        <v>14100000</v>
      </c>
      <c r="H63" s="136" t="s">
        <v>1252</v>
      </c>
      <c r="I63" s="114">
        <f>G67*G63/G65</f>
        <v>7497073.1707317075</v>
      </c>
      <c r="J63" s="136" t="s">
        <v>1253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1139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1254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947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1137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956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3912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</row>
    <row r="90" spans="1:12" x14ac:dyDescent="0.25">
      <c r="A90" s="103" t="s">
        <v>3888</v>
      </c>
      <c r="B90" s="103" t="s">
        <v>3911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  <c r="L90" s="103">
        <v>27</v>
      </c>
    </row>
    <row r="91" spans="1:12" x14ac:dyDescent="0.25">
      <c r="A91" s="149" t="s">
        <v>3889</v>
      </c>
      <c r="B91" s="90">
        <f>116-'اوراق بدون ریسک'!$AD$19</f>
        <v>-50</v>
      </c>
      <c r="C91" s="150">
        <f>$B$89/(1+(C$90/36500))^$B91</f>
        <v>3074873.4470260157</v>
      </c>
      <c r="D91" s="150">
        <f>$B$89/(1+(D$90/36500))^$B91</f>
        <v>3079086.3520180499</v>
      </c>
      <c r="E91" s="150">
        <f t="shared" ref="E91:L106" si="5">$B$89/(1+(E$90/36500))^$B91</f>
        <v>3083304.9135422539</v>
      </c>
      <c r="F91" s="150">
        <f t="shared" si="5"/>
        <v>3087529.1390382713</v>
      </c>
      <c r="G91" s="150">
        <f t="shared" si="5"/>
        <v>3091759.0359552694</v>
      </c>
      <c r="H91" s="150">
        <f t="shared" si="5"/>
        <v>3095994.6117521548</v>
      </c>
      <c r="I91" s="150">
        <f t="shared" si="5"/>
        <v>3100235.8738973197</v>
      </c>
      <c r="J91" s="150">
        <f t="shared" si="5"/>
        <v>3104482.8298687777</v>
      </c>
      <c r="K91" s="150">
        <f>$B$89/(1+(K$90/36500))^$B91</f>
        <v>3108735.4871542095</v>
      </c>
      <c r="L91" s="150">
        <f t="shared" si="5"/>
        <v>3112993.8532509445</v>
      </c>
    </row>
    <row r="92" spans="1:12" x14ac:dyDescent="0.25">
      <c r="A92" s="151" t="s">
        <v>3890</v>
      </c>
      <c r="B92" s="92">
        <f>120-'اوراق بدون ریسک'!$AD$19</f>
        <v>-46</v>
      </c>
      <c r="C92" s="152">
        <f t="shared" ref="C92:L112" si="6">$B$89/(1+(C$90/36500))^$B92</f>
        <v>3068815.4138892479</v>
      </c>
      <c r="D92" s="152">
        <f t="shared" si="6"/>
        <v>3072683.4384503746</v>
      </c>
      <c r="E92" s="152">
        <f t="shared" si="5"/>
        <v>3076556.2322656182</v>
      </c>
      <c r="F92" s="152">
        <f t="shared" si="5"/>
        <v>3080433.8010846139</v>
      </c>
      <c r="G92" s="152">
        <f t="shared" si="5"/>
        <v>3084316.1506637139</v>
      </c>
      <c r="H92" s="152">
        <f t="shared" si="5"/>
        <v>3088203.2867661859</v>
      </c>
      <c r="I92" s="152">
        <f t="shared" si="5"/>
        <v>3092095.2151619783</v>
      </c>
      <c r="J92" s="152">
        <f t="shared" si="5"/>
        <v>3095991.9416278419</v>
      </c>
      <c r="K92" s="152">
        <f t="shared" si="5"/>
        <v>3099893.4719473664</v>
      </c>
      <c r="L92" s="152">
        <f t="shared" si="5"/>
        <v>3103799.8119109599</v>
      </c>
    </row>
    <row r="93" spans="1:12" x14ac:dyDescent="0.25">
      <c r="A93" s="153" t="s">
        <v>3891</v>
      </c>
      <c r="B93" s="154">
        <f>137-'اوراق بدون ریسک'!$AD$19</f>
        <v>-29</v>
      </c>
      <c r="C93" s="155">
        <f t="shared" si="6"/>
        <v>3043201.6431943644</v>
      </c>
      <c r="D93" s="155">
        <f t="shared" si="6"/>
        <v>3045619.2643596744</v>
      </c>
      <c r="E93" s="155">
        <f t="shared" si="5"/>
        <v>3048038.7398843681</v>
      </c>
      <c r="F93" s="155">
        <f t="shared" si="5"/>
        <v>3050460.0711399387</v>
      </c>
      <c r="G93" s="155">
        <f t="shared" si="5"/>
        <v>3052883.2594988248</v>
      </c>
      <c r="H93" s="155">
        <f t="shared" si="5"/>
        <v>3055308.3063345226</v>
      </c>
      <c r="I93" s="155">
        <f t="shared" si="5"/>
        <v>3057735.213021439</v>
      </c>
      <c r="J93" s="155">
        <f t="shared" si="5"/>
        <v>3060163.9809349668</v>
      </c>
      <c r="K93" s="155">
        <f t="shared" si="5"/>
        <v>3062594.6114514931</v>
      </c>
      <c r="L93" s="155">
        <f t="shared" si="5"/>
        <v>3065027.1059483914</v>
      </c>
    </row>
    <row r="94" spans="1:12" x14ac:dyDescent="0.25">
      <c r="A94" s="156" t="s">
        <v>3892</v>
      </c>
      <c r="B94" s="157">
        <f>116-'اوراق بدون ریسک'!$AD$19</f>
        <v>-50</v>
      </c>
      <c r="C94" s="158">
        <f t="shared" si="6"/>
        <v>3074873.4470260157</v>
      </c>
      <c r="D94" s="158">
        <f t="shared" si="6"/>
        <v>3079086.3520180499</v>
      </c>
      <c r="E94" s="158">
        <f t="shared" si="5"/>
        <v>3083304.9135422539</v>
      </c>
      <c r="F94" s="158">
        <f t="shared" si="5"/>
        <v>3087529.1390382713</v>
      </c>
      <c r="G94" s="158">
        <f t="shared" si="5"/>
        <v>3091759.0359552694</v>
      </c>
      <c r="H94" s="158">
        <f t="shared" si="5"/>
        <v>3095994.6117521548</v>
      </c>
      <c r="I94" s="158">
        <f t="shared" si="5"/>
        <v>3100235.8738973197</v>
      </c>
      <c r="J94" s="158">
        <f t="shared" si="5"/>
        <v>3104482.8298687777</v>
      </c>
      <c r="K94" s="158">
        <f t="shared" si="5"/>
        <v>3108735.4871542095</v>
      </c>
      <c r="L94" s="158">
        <f t="shared" si="5"/>
        <v>3112993.8532509445</v>
      </c>
    </row>
    <row r="95" spans="1:12" x14ac:dyDescent="0.25">
      <c r="A95" s="159" t="s">
        <v>3893</v>
      </c>
      <c r="B95" s="160">
        <f>167-'اوراق بدون ریسک'!$AD$19</f>
        <v>1</v>
      </c>
      <c r="C95" s="161">
        <f t="shared" si="6"/>
        <v>2998521.2771783778</v>
      </c>
      <c r="D95" s="161">
        <f t="shared" si="6"/>
        <v>2998439.1686519347</v>
      </c>
      <c r="E95" s="161">
        <f t="shared" si="5"/>
        <v>2998357.0646221247</v>
      </c>
      <c r="F95" s="161">
        <f t="shared" si="5"/>
        <v>2998274.9650885789</v>
      </c>
      <c r="G95" s="161">
        <f t="shared" si="5"/>
        <v>2998192.8700509286</v>
      </c>
      <c r="H95" s="161">
        <f t="shared" si="5"/>
        <v>2998110.779508803</v>
      </c>
      <c r="I95" s="161">
        <f t="shared" si="5"/>
        <v>2998028.6934618335</v>
      </c>
      <c r="J95" s="161">
        <f t="shared" si="5"/>
        <v>2997946.6119096507</v>
      </c>
      <c r="K95" s="161">
        <f t="shared" si="5"/>
        <v>2997864.5348518863</v>
      </c>
      <c r="L95" s="161">
        <f t="shared" si="5"/>
        <v>2997782.4622881701</v>
      </c>
    </row>
    <row r="96" spans="1:12" x14ac:dyDescent="0.25">
      <c r="A96" s="164" t="s">
        <v>3894</v>
      </c>
      <c r="B96" s="23">
        <f>181-'اوراق بدون ریسک'!$AD$19</f>
        <v>15</v>
      </c>
      <c r="C96" s="165">
        <f t="shared" si="6"/>
        <v>2977895.5261918702</v>
      </c>
      <c r="D96" s="165">
        <f t="shared" si="6"/>
        <v>2976672.6046491931</v>
      </c>
      <c r="E96" s="165">
        <f t="shared" si="5"/>
        <v>2975450.2187854489</v>
      </c>
      <c r="F96" s="165">
        <f t="shared" si="5"/>
        <v>2974228.3683513333</v>
      </c>
      <c r="G96" s="165">
        <f t="shared" si="5"/>
        <v>2973007.0530976807</v>
      </c>
      <c r="H96" s="165">
        <f t="shared" si="5"/>
        <v>2971786.2727754093</v>
      </c>
      <c r="I96" s="165">
        <f t="shared" si="5"/>
        <v>2970566.0271355929</v>
      </c>
      <c r="J96" s="165">
        <f t="shared" si="5"/>
        <v>2969346.3159294268</v>
      </c>
      <c r="K96" s="165">
        <f t="shared" si="5"/>
        <v>2968127.1389082163</v>
      </c>
      <c r="L96" s="165">
        <f t="shared" si="5"/>
        <v>2966908.4958233908</v>
      </c>
    </row>
    <row r="97" spans="1:12" x14ac:dyDescent="0.25">
      <c r="A97" s="166" t="s">
        <v>3895</v>
      </c>
      <c r="B97" s="88">
        <f>197-'اوراق بدون ریسک'!$AD$19</f>
        <v>31</v>
      </c>
      <c r="C97" s="146">
        <f t="shared" si="6"/>
        <v>2954496.9094633209</v>
      </c>
      <c r="D97" s="146">
        <f t="shared" si="6"/>
        <v>2951989.9461222831</v>
      </c>
      <c r="E97" s="146">
        <f t="shared" si="5"/>
        <v>2949485.1785612339</v>
      </c>
      <c r="F97" s="146">
        <f t="shared" si="5"/>
        <v>2946982.6047969018</v>
      </c>
      <c r="G97" s="146">
        <f t="shared" si="5"/>
        <v>2944482.2228478943</v>
      </c>
      <c r="H97" s="146">
        <f t="shared" si="5"/>
        <v>2941984.03073458</v>
      </c>
      <c r="I97" s="146">
        <f t="shared" si="5"/>
        <v>2939488.0264792391</v>
      </c>
      <c r="J97" s="146">
        <f t="shared" si="5"/>
        <v>2936994.2081059874</v>
      </c>
      <c r="K97" s="146">
        <f t="shared" si="5"/>
        <v>2934502.5736407563</v>
      </c>
      <c r="L97" s="146">
        <f t="shared" si="5"/>
        <v>2932013.1211113147</v>
      </c>
    </row>
    <row r="98" spans="1:12" x14ac:dyDescent="0.25">
      <c r="A98" s="167" t="s">
        <v>3896</v>
      </c>
      <c r="B98" s="23">
        <f>214-'اوراق بدون ریسک'!$AD$19</f>
        <v>48</v>
      </c>
      <c r="C98" s="110">
        <f t="shared" si="6"/>
        <v>2929837.2945463629</v>
      </c>
      <c r="D98" s="110">
        <f t="shared" si="6"/>
        <v>2925988.8394621913</v>
      </c>
      <c r="E98" s="110">
        <f t="shared" si="5"/>
        <v>2922145.5446465015</v>
      </c>
      <c r="F98" s="110">
        <f t="shared" si="5"/>
        <v>2918307.4030390396</v>
      </c>
      <c r="G98" s="110">
        <f t="shared" si="5"/>
        <v>2914474.4075894579</v>
      </c>
      <c r="H98" s="110">
        <f t="shared" si="5"/>
        <v>2910646.5512571144</v>
      </c>
      <c r="I98" s="110">
        <f t="shared" si="5"/>
        <v>2906823.8270112989</v>
      </c>
      <c r="J98" s="110">
        <f t="shared" si="5"/>
        <v>2903006.2278311099</v>
      </c>
      <c r="K98" s="110">
        <f t="shared" si="5"/>
        <v>2899193.7467054068</v>
      </c>
      <c r="L98" s="110">
        <f t="shared" si="5"/>
        <v>2895386.3766328269</v>
      </c>
    </row>
    <row r="99" spans="1:12" x14ac:dyDescent="0.25">
      <c r="A99" s="168" t="s">
        <v>3897</v>
      </c>
      <c r="B99" s="169">
        <f>272-'اوراق بدون ریسک'!$AD$19</f>
        <v>106</v>
      </c>
      <c r="C99" s="170">
        <f t="shared" si="6"/>
        <v>2847243.1242687716</v>
      </c>
      <c r="D99" s="170">
        <f t="shared" si="6"/>
        <v>2838990.5899292841</v>
      </c>
      <c r="E99" s="170">
        <f t="shared" si="5"/>
        <v>2830762.1999755814</v>
      </c>
      <c r="F99" s="170">
        <f t="shared" si="5"/>
        <v>2822557.8831103584</v>
      </c>
      <c r="G99" s="170">
        <f t="shared" si="5"/>
        <v>2814377.5682489113</v>
      </c>
      <c r="H99" s="170">
        <f t="shared" si="5"/>
        <v>2806221.1845180872</v>
      </c>
      <c r="I99" s="170">
        <f t="shared" si="5"/>
        <v>2798088.6612561713</v>
      </c>
      <c r="J99" s="170">
        <f t="shared" si="5"/>
        <v>2789979.9280120125</v>
      </c>
      <c r="K99" s="170">
        <f t="shared" si="5"/>
        <v>2781894.9145443221</v>
      </c>
      <c r="L99" s="170">
        <f t="shared" si="5"/>
        <v>2773833.5508211046</v>
      </c>
    </row>
    <row r="100" spans="1:12" x14ac:dyDescent="0.25">
      <c r="A100" s="153" t="s">
        <v>3898</v>
      </c>
      <c r="B100" s="154">
        <f>302-'اوراق بدون ریسک'!$AD$19</f>
        <v>136</v>
      </c>
      <c r="C100" s="155">
        <f t="shared" si="6"/>
        <v>2805439.826346227</v>
      </c>
      <c r="D100" s="155">
        <f t="shared" si="6"/>
        <v>2795011.4066762533</v>
      </c>
      <c r="E100" s="155">
        <f t="shared" si="5"/>
        <v>2784622.0356385764</v>
      </c>
      <c r="F100" s="155">
        <f t="shared" si="5"/>
        <v>2774271.5659545418</v>
      </c>
      <c r="G100" s="155">
        <f t="shared" si="5"/>
        <v>2763959.8509051367</v>
      </c>
      <c r="H100" s="155">
        <f t="shared" si="5"/>
        <v>2753686.7443283377</v>
      </c>
      <c r="I100" s="155">
        <f t="shared" si="5"/>
        <v>2743452.1006176439</v>
      </c>
      <c r="J100" s="155">
        <f t="shared" si="5"/>
        <v>2733255.7747196415</v>
      </c>
      <c r="K100" s="155">
        <f t="shared" si="5"/>
        <v>2723097.6221318063</v>
      </c>
      <c r="L100" s="155">
        <f t="shared" si="5"/>
        <v>2712977.4989004759</v>
      </c>
    </row>
    <row r="101" spans="1:12" x14ac:dyDescent="0.25">
      <c r="A101" s="156" t="s">
        <v>3899</v>
      </c>
      <c r="B101" s="157">
        <f>319-'اوراق بدون ریسک'!$AD$19</f>
        <v>153</v>
      </c>
      <c r="C101" s="158">
        <f t="shared" si="6"/>
        <v>2782024.3116544341</v>
      </c>
      <c r="D101" s="158">
        <f t="shared" si="6"/>
        <v>2770392.9658862944</v>
      </c>
      <c r="E101" s="158">
        <f t="shared" si="5"/>
        <v>2758810.5660307198</v>
      </c>
      <c r="F101" s="158">
        <f t="shared" si="5"/>
        <v>2747276.9047864191</v>
      </c>
      <c r="G101" s="158">
        <f t="shared" si="5"/>
        <v>2735791.7757358872</v>
      </c>
      <c r="H101" s="158">
        <f t="shared" si="5"/>
        <v>2724354.9733410506</v>
      </c>
      <c r="I101" s="158">
        <f t="shared" si="5"/>
        <v>2712966.2929402282</v>
      </c>
      <c r="J101" s="158">
        <f t="shared" si="5"/>
        <v>2701625.5307440259</v>
      </c>
      <c r="K101" s="158">
        <f t="shared" si="5"/>
        <v>2690332.4838315104</v>
      </c>
      <c r="L101" s="158">
        <f t="shared" si="5"/>
        <v>2679086.9501465699</v>
      </c>
    </row>
    <row r="102" spans="1:12" x14ac:dyDescent="0.25">
      <c r="A102" s="153" t="s">
        <v>3900</v>
      </c>
      <c r="B102" s="154">
        <f>334-'اوراق بدون ریسک'!$AD$19</f>
        <v>168</v>
      </c>
      <c r="C102" s="155">
        <f t="shared" si="6"/>
        <v>2761525.9171442515</v>
      </c>
      <c r="D102" s="155">
        <f t="shared" si="6"/>
        <v>2748850.9485555207</v>
      </c>
      <c r="E102" s="155">
        <f t="shared" si="5"/>
        <v>2736234.5007612389</v>
      </c>
      <c r="F102" s="155">
        <f t="shared" si="5"/>
        <v>2723676.301977403</v>
      </c>
      <c r="G102" s="155">
        <f t="shared" si="5"/>
        <v>2711176.0816898081</v>
      </c>
      <c r="H102" s="155">
        <f t="shared" si="5"/>
        <v>2698733.5706474511</v>
      </c>
      <c r="I102" s="155">
        <f t="shared" si="5"/>
        <v>2686348.5008574105</v>
      </c>
      <c r="J102" s="155">
        <f t="shared" si="5"/>
        <v>2674020.6055785511</v>
      </c>
      <c r="K102" s="155">
        <f t="shared" si="5"/>
        <v>2661749.6193155521</v>
      </c>
      <c r="L102" s="155">
        <f t="shared" si="5"/>
        <v>2649535.277813145</v>
      </c>
    </row>
    <row r="103" spans="1:12" x14ac:dyDescent="0.25">
      <c r="A103" s="156" t="s">
        <v>3901</v>
      </c>
      <c r="B103" s="157">
        <f>349-'اوراق بدون ریسک'!$AD$19</f>
        <v>183</v>
      </c>
      <c r="C103" s="158">
        <f t="shared" si="6"/>
        <v>2741178.5580422557</v>
      </c>
      <c r="D103" s="158">
        <f t="shared" si="6"/>
        <v>2727476.4376097228</v>
      </c>
      <c r="E103" s="158">
        <f t="shared" si="5"/>
        <v>2713843.1813127738</v>
      </c>
      <c r="F103" s="158">
        <f t="shared" si="5"/>
        <v>2700278.4411824816</v>
      </c>
      <c r="G103" s="158">
        <f t="shared" si="5"/>
        <v>2686781.8710178435</v>
      </c>
      <c r="H103" s="158">
        <f t="shared" si="5"/>
        <v>2673353.1263760873</v>
      </c>
      <c r="I103" s="158">
        <f t="shared" si="5"/>
        <v>2659991.864564551</v>
      </c>
      <c r="J103" s="158">
        <f t="shared" si="5"/>
        <v>2646697.7446313486</v>
      </c>
      <c r="K103" s="158">
        <f t="shared" si="5"/>
        <v>2633470.4273563679</v>
      </c>
      <c r="L103" s="158">
        <f t="shared" si="5"/>
        <v>2620309.5752425361</v>
      </c>
    </row>
    <row r="104" spans="1:12" x14ac:dyDescent="0.25">
      <c r="A104" s="168" t="s">
        <v>3902</v>
      </c>
      <c r="B104" s="169">
        <f>361-'اوراق بدون ریسک'!$AD$19</f>
        <v>195</v>
      </c>
      <c r="C104" s="170">
        <f t="shared" si="6"/>
        <v>2725008.6681415122</v>
      </c>
      <c r="D104" s="170">
        <f t="shared" si="6"/>
        <v>2710496.5578320939</v>
      </c>
      <c r="E104" s="170">
        <f t="shared" si="5"/>
        <v>2696062.1263834643</v>
      </c>
      <c r="F104" s="170">
        <f t="shared" si="5"/>
        <v>2681704.9558946132</v>
      </c>
      <c r="G104" s="170">
        <f t="shared" si="5"/>
        <v>2667424.6307243314</v>
      </c>
      <c r="H104" s="170">
        <f t="shared" si="5"/>
        <v>2653220.7374782227</v>
      </c>
      <c r="I104" s="170">
        <f t="shared" si="5"/>
        <v>2639092.8649974084</v>
      </c>
      <c r="J104" s="170">
        <f t="shared" si="5"/>
        <v>2625040.6043459536</v>
      </c>
      <c r="K104" s="170">
        <f t="shared" si="5"/>
        <v>2611063.5487986747</v>
      </c>
      <c r="L104" s="170">
        <f t="shared" si="5"/>
        <v>2597161.2938292432</v>
      </c>
    </row>
    <row r="105" spans="1:12" x14ac:dyDescent="0.25">
      <c r="A105" s="162" t="s">
        <v>3903</v>
      </c>
      <c r="B105" s="94">
        <f>372-'اوراق بدون ریسک'!$AD$19</f>
        <v>206</v>
      </c>
      <c r="C105" s="163">
        <f t="shared" si="6"/>
        <v>2710270.0752570974</v>
      </c>
      <c r="D105" s="163">
        <f t="shared" si="6"/>
        <v>2695024.5457399897</v>
      </c>
      <c r="E105" s="163">
        <f t="shared" si="5"/>
        <v>2679865.1877356046</v>
      </c>
      <c r="F105" s="163">
        <f t="shared" si="5"/>
        <v>2664791.5118415891</v>
      </c>
      <c r="G105" s="163">
        <f t="shared" si="5"/>
        <v>2649803.0314486041</v>
      </c>
      <c r="H105" s="163">
        <f t="shared" si="5"/>
        <v>2634899.2627235595</v>
      </c>
      <c r="I105" s="163">
        <f t="shared" si="5"/>
        <v>2620079.7245946648</v>
      </c>
      <c r="J105" s="163">
        <f t="shared" si="5"/>
        <v>2605343.9387351437</v>
      </c>
      <c r="K105" s="163">
        <f t="shared" si="5"/>
        <v>2590691.4295473821</v>
      </c>
      <c r="L105" s="163">
        <f t="shared" si="5"/>
        <v>2576121.7241473971</v>
      </c>
    </row>
    <row r="106" spans="1:12" x14ac:dyDescent="0.25">
      <c r="A106" s="156" t="s">
        <v>3904</v>
      </c>
      <c r="B106" s="157">
        <f>391-'اوراق بدون ریسک'!$AD$19</f>
        <v>225</v>
      </c>
      <c r="C106" s="158">
        <f t="shared" si="6"/>
        <v>2685000.0196966785</v>
      </c>
      <c r="D106" s="158">
        <f t="shared" si="6"/>
        <v>2668507.8928303635</v>
      </c>
      <c r="E106" s="158">
        <f t="shared" si="5"/>
        <v>2652117.5133124045</v>
      </c>
      <c r="F106" s="158">
        <f t="shared" si="5"/>
        <v>2635828.2506573191</v>
      </c>
      <c r="G106" s="158">
        <f t="shared" si="5"/>
        <v>2619639.4783038055</v>
      </c>
      <c r="H106" s="158">
        <f t="shared" si="5"/>
        <v>2603550.5735894172</v>
      </c>
      <c r="I106" s="158">
        <f t="shared" si="5"/>
        <v>2587560.917727231</v>
      </c>
      <c r="J106" s="158">
        <f t="shared" si="5"/>
        <v>2571669.8957811366</v>
      </c>
      <c r="K106" s="158">
        <f t="shared" si="5"/>
        <v>2555876.8966416423</v>
      </c>
      <c r="L106" s="158">
        <f t="shared" si="5"/>
        <v>2540181.313002083</v>
      </c>
    </row>
    <row r="107" spans="1:12" x14ac:dyDescent="0.25">
      <c r="A107" s="162" t="s">
        <v>3905</v>
      </c>
      <c r="B107" s="94">
        <f>407-'اوراق بدون ریسک'!$AD$19</f>
        <v>241</v>
      </c>
      <c r="C107" s="163">
        <f t="shared" si="6"/>
        <v>2663902.8099979316</v>
      </c>
      <c r="D107" s="163">
        <f t="shared" si="6"/>
        <v>2646380.5453376556</v>
      </c>
      <c r="E107" s="163">
        <f t="shared" si="6"/>
        <v>2628974.0113718449</v>
      </c>
      <c r="F107" s="163">
        <f t="shared" si="6"/>
        <v>2611682.4405871565</v>
      </c>
      <c r="G107" s="163">
        <f t="shared" si="6"/>
        <v>2594505.070581363</v>
      </c>
      <c r="H107" s="163">
        <f t="shared" si="6"/>
        <v>2577441.1440283256</v>
      </c>
      <c r="I107" s="163">
        <f t="shared" si="6"/>
        <v>2560489.9086451591</v>
      </c>
      <c r="J107" s="163">
        <f t="shared" si="6"/>
        <v>2543650.6171580013</v>
      </c>
      <c r="K107" s="163">
        <f t="shared" si="6"/>
        <v>2526922.5272683916</v>
      </c>
      <c r="L107" s="163">
        <f t="shared" si="6"/>
        <v>2510304.9016201333</v>
      </c>
    </row>
    <row r="108" spans="1:12" x14ac:dyDescent="0.25">
      <c r="A108" s="153" t="s">
        <v>3906</v>
      </c>
      <c r="B108" s="154">
        <f>573-'اوراق بدون ریسک'!$AD$19</f>
        <v>407</v>
      </c>
      <c r="C108" s="155">
        <f t="shared" si="6"/>
        <v>2454564.7010587249</v>
      </c>
      <c r="D108" s="155">
        <f t="shared" si="6"/>
        <v>2427360.3671414913</v>
      </c>
      <c r="E108" s="155">
        <f t="shared" si="6"/>
        <v>2400458.2757891566</v>
      </c>
      <c r="F108" s="155">
        <f t="shared" si="6"/>
        <v>2373855.060921479</v>
      </c>
      <c r="G108" s="155">
        <f t="shared" si="6"/>
        <v>2347547.3940373133</v>
      </c>
      <c r="H108" s="155">
        <f t="shared" si="6"/>
        <v>2321531.9837927581</v>
      </c>
      <c r="I108" s="155">
        <f t="shared" si="6"/>
        <v>2295805.5755870435</v>
      </c>
      <c r="J108" s="155">
        <f t="shared" si="6"/>
        <v>2270364.9511505691</v>
      </c>
      <c r="K108" s="155">
        <f t="shared" si="6"/>
        <v>2245206.9281381587</v>
      </c>
      <c r="L108" s="155">
        <f t="shared" si="6"/>
        <v>2220328.3597272853</v>
      </c>
    </row>
    <row r="109" spans="1:12" x14ac:dyDescent="0.25">
      <c r="A109" s="162" t="s">
        <v>3907</v>
      </c>
      <c r="B109" s="94">
        <f>579-'اوراق بدون ریسک'!$AD$19</f>
        <v>413</v>
      </c>
      <c r="C109" s="163">
        <f t="shared" si="6"/>
        <v>2447314.3988393405</v>
      </c>
      <c r="D109" s="163">
        <f t="shared" si="6"/>
        <v>2419792.8158688899</v>
      </c>
      <c r="E109" s="163">
        <f t="shared" si="6"/>
        <v>2392581.471266496</v>
      </c>
      <c r="F109" s="163">
        <f t="shared" si="6"/>
        <v>2365676.8595034713</v>
      </c>
      <c r="G109" s="163">
        <f t="shared" si="6"/>
        <v>2339075.5147564821</v>
      </c>
      <c r="H109" s="163">
        <f t="shared" si="6"/>
        <v>2312774.0104554417</v>
      </c>
      <c r="I109" s="163">
        <f t="shared" si="6"/>
        <v>2286768.9588395758</v>
      </c>
      <c r="J109" s="163">
        <f t="shared" si="6"/>
        <v>2261057.0105160316</v>
      </c>
      <c r="K109" s="163">
        <f t="shared" si="6"/>
        <v>2235634.8540241146</v>
      </c>
      <c r="L109" s="163">
        <f t="shared" si="6"/>
        <v>2210499.2154048751</v>
      </c>
    </row>
    <row r="110" spans="1:12" x14ac:dyDescent="0.25">
      <c r="A110" s="156" t="s">
        <v>3908</v>
      </c>
      <c r="B110" s="157">
        <f>753-'اوراق بدون ریسک'!$AD$19</f>
        <v>587</v>
      </c>
      <c r="C110" s="158">
        <f t="shared" si="6"/>
        <v>2246119.7943544779</v>
      </c>
      <c r="D110" s="158">
        <f t="shared" si="6"/>
        <v>2210304.1864526616</v>
      </c>
      <c r="E110" s="158">
        <f t="shared" si="6"/>
        <v>2175060.6353483605</v>
      </c>
      <c r="F110" s="158">
        <f t="shared" si="6"/>
        <v>2140379.98870188</v>
      </c>
      <c r="G110" s="158">
        <f t="shared" si="6"/>
        <v>2106253.2408469557</v>
      </c>
      <c r="H110" s="158">
        <f t="shared" si="6"/>
        <v>2072671.5304345873</v>
      </c>
      <c r="I110" s="158">
        <f t="shared" si="6"/>
        <v>2039626.1381186522</v>
      </c>
      <c r="J110" s="158">
        <f t="shared" si="6"/>
        <v>2007108.4842755033</v>
      </c>
      <c r="K110" s="158">
        <f t="shared" si="6"/>
        <v>1975110.1267610071</v>
      </c>
      <c r="L110" s="158">
        <f t="shared" si="6"/>
        <v>1943622.7587041636</v>
      </c>
    </row>
    <row r="111" spans="1:12" x14ac:dyDescent="0.25">
      <c r="A111" s="168" t="s">
        <v>3909</v>
      </c>
      <c r="B111" s="169">
        <f>757-'اوراق بدون ریسک'!$AD$19</f>
        <v>591</v>
      </c>
      <c r="C111" s="170">
        <f t="shared" si="6"/>
        <v>2241694.5494207367</v>
      </c>
      <c r="D111" s="170">
        <f t="shared" si="6"/>
        <v>2205707.8922776529</v>
      </c>
      <c r="E111" s="170">
        <f t="shared" si="6"/>
        <v>2170299.9024993801</v>
      </c>
      <c r="F111" s="170">
        <f t="shared" si="6"/>
        <v>2135461.2596194353</v>
      </c>
      <c r="G111" s="170">
        <f t="shared" si="6"/>
        <v>2101182.7935435656</v>
      </c>
      <c r="H111" s="170">
        <f t="shared" si="6"/>
        <v>2067455.4821180033</v>
      </c>
      <c r="I111" s="170">
        <f t="shared" si="6"/>
        <v>2034270.4487409811</v>
      </c>
      <c r="J111" s="170">
        <f t="shared" si="6"/>
        <v>2001618.9600096731</v>
      </c>
      <c r="K111" s="170">
        <f t="shared" si="6"/>
        <v>1969492.4234060012</v>
      </c>
      <c r="L111" s="170">
        <f t="shared" si="6"/>
        <v>1937882.3850204186</v>
      </c>
    </row>
    <row r="112" spans="1:12" x14ac:dyDescent="0.25">
      <c r="A112" s="153" t="s">
        <v>3910</v>
      </c>
      <c r="B112" s="154">
        <f>774-'اوراق بدون ریسک'!$AD$19</f>
        <v>608</v>
      </c>
      <c r="C112" s="155">
        <f t="shared" si="6"/>
        <v>2222984.3168349122</v>
      </c>
      <c r="D112" s="155">
        <f t="shared" si="6"/>
        <v>2186280.0326931532</v>
      </c>
      <c r="E112" s="155">
        <f t="shared" si="6"/>
        <v>2150182.7629894754</v>
      </c>
      <c r="F112" s="155">
        <f t="shared" si="6"/>
        <v>2114682.4527252205</v>
      </c>
      <c r="G112" s="155">
        <f t="shared" si="6"/>
        <v>2079769.2137285459</v>
      </c>
      <c r="H112" s="155">
        <f t="shared" si="6"/>
        <v>2045433.3218803525</v>
      </c>
      <c r="I112" s="155">
        <f t="shared" si="6"/>
        <v>2011665.2143903584</v>
      </c>
      <c r="J112" s="155">
        <f t="shared" si="6"/>
        <v>1978455.4871152197</v>
      </c>
      <c r="K112" s="155">
        <f t="shared" si="6"/>
        <v>1945794.891922072</v>
      </c>
      <c r="L112" s="155">
        <f t="shared" si="6"/>
        <v>1913674.3340964844</v>
      </c>
    </row>
    <row r="113" spans="1:12" x14ac:dyDescent="0.25">
      <c r="A113" s="100"/>
      <c r="B113" s="100"/>
      <c r="C113" s="100"/>
      <c r="D113" s="100"/>
      <c r="E113" s="100"/>
      <c r="F113" s="100"/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18"/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  <c r="L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3761</v>
      </c>
      <c r="I1" t="s">
        <v>3767</v>
      </c>
    </row>
    <row r="2" spans="1:12" x14ac:dyDescent="0.25">
      <c r="A2">
        <v>1</v>
      </c>
      <c r="B2" t="s">
        <v>3755</v>
      </c>
      <c r="G2" t="s">
        <v>3759</v>
      </c>
      <c r="H2" t="s">
        <v>3762</v>
      </c>
      <c r="I2" t="s">
        <v>3768</v>
      </c>
    </row>
    <row r="3" spans="1:12" x14ac:dyDescent="0.25">
      <c r="A3">
        <v>2</v>
      </c>
      <c r="B3" t="s">
        <v>3756</v>
      </c>
      <c r="G3" s="127"/>
      <c r="H3" t="s">
        <v>3763</v>
      </c>
      <c r="I3" t="s">
        <v>3769</v>
      </c>
    </row>
    <row r="4" spans="1:12" x14ac:dyDescent="0.25">
      <c r="A4">
        <v>3</v>
      </c>
      <c r="B4" t="s">
        <v>3757</v>
      </c>
      <c r="H4" t="s">
        <v>3764</v>
      </c>
      <c r="L4" s="127"/>
    </row>
    <row r="5" spans="1:12" x14ac:dyDescent="0.25">
      <c r="H5" t="s">
        <v>3766</v>
      </c>
    </row>
    <row r="6" spans="1:12" x14ac:dyDescent="0.25">
      <c r="B6" s="127" t="s">
        <v>3760</v>
      </c>
      <c r="H6" t="s">
        <v>3770</v>
      </c>
    </row>
    <row r="7" spans="1:12" x14ac:dyDescent="0.25">
      <c r="H7" t="s">
        <v>3771</v>
      </c>
    </row>
    <row r="8" spans="1:12" x14ac:dyDescent="0.25">
      <c r="H8" t="s">
        <v>3772</v>
      </c>
    </row>
    <row r="9" spans="1:12" x14ac:dyDescent="0.25">
      <c r="H9" t="s">
        <v>3785</v>
      </c>
    </row>
    <row r="10" spans="1:12" x14ac:dyDescent="0.25">
      <c r="H10" t="s">
        <v>3786</v>
      </c>
    </row>
    <row r="11" spans="1:12" x14ac:dyDescent="0.25">
      <c r="H11" t="s">
        <v>3787</v>
      </c>
    </row>
    <row r="12" spans="1:12" x14ac:dyDescent="0.25">
      <c r="H12" t="s">
        <v>3789</v>
      </c>
    </row>
    <row r="13" spans="1:12" x14ac:dyDescent="0.25">
      <c r="H13" t="s">
        <v>3788</v>
      </c>
    </row>
    <row r="18" spans="1:8" x14ac:dyDescent="0.25">
      <c r="A18" s="103" t="s">
        <v>3773</v>
      </c>
      <c r="B18" s="103"/>
      <c r="C18" s="103"/>
      <c r="D18" s="103"/>
    </row>
    <row r="19" spans="1:8" x14ac:dyDescent="0.25">
      <c r="A19" s="103">
        <v>1</v>
      </c>
      <c r="B19" s="103" t="s">
        <v>3774</v>
      </c>
      <c r="C19" s="103" t="s">
        <v>3776</v>
      </c>
      <c r="D19" s="103"/>
    </row>
    <row r="20" spans="1:8" x14ac:dyDescent="0.25">
      <c r="A20" s="103">
        <v>2</v>
      </c>
      <c r="B20" s="103" t="s">
        <v>3775</v>
      </c>
      <c r="C20" s="103" t="s">
        <v>3777</v>
      </c>
      <c r="D20" s="103" t="s">
        <v>3778</v>
      </c>
      <c r="G20" t="s">
        <v>3779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3783</v>
      </c>
      <c r="H38" s="22"/>
    </row>
    <row r="39" spans="1:8" x14ac:dyDescent="0.25">
      <c r="A39">
        <v>1</v>
      </c>
      <c r="B39" t="s">
        <v>3780</v>
      </c>
    </row>
    <row r="40" spans="1:8" x14ac:dyDescent="0.25">
      <c r="A40">
        <v>2</v>
      </c>
      <c r="B40" t="s">
        <v>3784</v>
      </c>
    </row>
    <row r="41" spans="1:8" x14ac:dyDescent="0.25">
      <c r="A41">
        <v>3</v>
      </c>
      <c r="B41" t="s">
        <v>3781</v>
      </c>
    </row>
    <row r="42" spans="1:8" x14ac:dyDescent="0.25">
      <c r="A42">
        <v>4</v>
      </c>
      <c r="B42" t="s">
        <v>3782</v>
      </c>
    </row>
  </sheetData>
  <hyperlinks>
    <hyperlink ref="B6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1270</v>
      </c>
      <c r="B1" t="s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1378</v>
      </c>
      <c r="B1" s="100" t="s">
        <v>1379</v>
      </c>
      <c r="C1" s="100" t="s">
        <v>1380</v>
      </c>
      <c r="D1" s="100" t="s">
        <v>1381</v>
      </c>
      <c r="E1" s="100" t="s">
        <v>1382</v>
      </c>
      <c r="F1" s="100" t="s">
        <v>1383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3843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3844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3845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3846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3847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3848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3849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3850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3851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3852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3853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3854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3855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3856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3857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3858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3859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3860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3861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3862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3863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3864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3865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3866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3867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3868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3869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3870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3871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3872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3873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3874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3875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3876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3877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3878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3879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3880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3881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3882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3883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3884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3885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1278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1279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1280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1281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1282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1283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1284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1285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1286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1287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1288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1289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1290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1291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1292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1293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1294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1295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1296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1297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1298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1299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1300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1301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1302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1303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1304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1305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1306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1307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1308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1309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1310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1311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1312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1313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1314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1315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1316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1317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1318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1319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1320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1321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1322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1323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1324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1325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1326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1327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1328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1329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1330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1331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1332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1333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1334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1335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1336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1337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1338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1339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1340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1341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1342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1343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1344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1345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1346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1347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1348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1349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1350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1351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1352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1353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1354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1355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1356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1357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1358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1359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1360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1361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1362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1363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1364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1365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1366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1367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1368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1369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1370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1371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1372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1373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1374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1375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1376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1377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1384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1385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1386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1387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1388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1389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1390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1391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1392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1393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1394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1395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1396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1397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1398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1399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1400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1401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1402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1403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1404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1405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1406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1407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1408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1409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1410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1411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1412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1413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1414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1415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1416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1417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1418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1419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1420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1421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1422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1423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1424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1425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1426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1427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1428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1429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1430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1431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1432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1433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1434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1435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1436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1437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1438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1439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1440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1441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1442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1443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1444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1445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1446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1447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1448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1449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1450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1451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1452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1453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1454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1455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1456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1457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1458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1459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1460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1461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1462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1463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1464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1465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1466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1467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1468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1469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1470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1471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1472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1473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1474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1475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1476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1477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1478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1479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1480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1481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1482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1483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1484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1485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1486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1487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1488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1489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1490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1491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1492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1493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1494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1495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1496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1497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1498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1499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1500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1501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1502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1503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1504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1505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1506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1507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1508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1509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1510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1511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1512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1513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1514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1515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1516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1517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1518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1519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1520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1521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1522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1523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1524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1525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1526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1527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1528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1529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1530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1531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1532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1533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1534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1535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1536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1537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1538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1539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1540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1541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1542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1543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1544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1545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1546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1547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1548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1549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1550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1551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1552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1553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1554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1555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1556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1557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1558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1559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1560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1561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1562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1563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1564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1565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1566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1567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1568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1569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1570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1571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1572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1573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1574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1575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1576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1577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1578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1579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1580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1581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1582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1583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1584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1585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1586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1587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1588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1589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1590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1591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1592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1593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1594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1595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1596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1597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1598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1599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1600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1601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1602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1603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1604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1605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1606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1607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1608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1609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1610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1611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1612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1613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1614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1615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1616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1617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1618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1619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1620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1621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1622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1623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1624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1625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1626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1627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1628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1629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1630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1631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1632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1633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1634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1635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1636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1637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1638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1639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1640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1641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1642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1643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1644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1645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1646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1647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1648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1649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1650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1651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1652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1653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1654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1655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1656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1657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1658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1659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1660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1661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1662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1663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1664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1665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1666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1667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1668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1669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1670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1671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1672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1673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1674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1675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1676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1677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1678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1679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1680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1681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1682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1683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1684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1685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1686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1687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1688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1689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1690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1691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1692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1693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1694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1695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1696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1697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1698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1699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1700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1701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1702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1703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1704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1705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1706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1707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1708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1709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1710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1711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1712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1713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1714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1715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1716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1717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1718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1719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1720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1721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1722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1723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1724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1725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1726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1727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1728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1729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1730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1731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1732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1733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1734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1735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1736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1737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1738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1739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1740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1741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1742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1743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1744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1745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1746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1747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1748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1749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1750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1751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1752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1753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1754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1755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1756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1757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1758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1759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1760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1761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1762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1763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1764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1765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1766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1767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1768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1769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1770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1771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1772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1773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1774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1775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1776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1777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1778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1779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1780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1781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1782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1783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1784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1785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1786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1787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1788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1789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1790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1791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1792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1793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1794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1795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1796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1797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1798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1799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1800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1801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1802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1803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1804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1805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1806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1807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1808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1809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1810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1811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1812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1813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1814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1815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1816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1817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1818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1819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1820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1821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1822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1823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1824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1825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1826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1827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1828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1829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1830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1831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1832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1833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1834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1835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1836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1837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1838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1839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1840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1841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1842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1843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1844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1845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1846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1847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1848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1849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1850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1851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1852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1853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1854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1855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1856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1857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1858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1859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1860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1861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1862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1863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1864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1865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1866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1867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1868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1869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1870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1871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1872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1873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1874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1875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1876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1877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1878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1879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1880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1881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1882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1883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1884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1885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1886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1887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1888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1889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1890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1891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1892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1893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1894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1895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1896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1897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1898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1899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1900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1901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1902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1903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1904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1905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1906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1907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1908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1909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1910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1911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1912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1913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1914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1915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1916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1917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1918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1919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1920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1921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1922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1923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1924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1925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1926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1927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1928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1929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1930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1931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1932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1933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1934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1935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1936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1937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1938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1939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1940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1941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1942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1943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1944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1945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1946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1947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1948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1949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1950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1951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1952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1953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1954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1955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1956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1957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1958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1959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1960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1961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1962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1963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1964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1965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1966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1967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1968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1969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1970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1971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1972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1973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1974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1975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1976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1977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1978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1979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1980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1981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1982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1983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1984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1985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1986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1987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1988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1989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1990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1991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1992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1993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1994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1995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1996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1997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1998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1999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2000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2001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2002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2003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2004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2005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2006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2007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2008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2009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2010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2011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2012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2013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2014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2015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2016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2017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2018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2019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2020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2021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2022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2023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2024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2025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2026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2027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2028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2029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2030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2031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2032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2033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2034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2035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2036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2037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2038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2039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2040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2041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2042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2043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2044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2045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2046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2047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2048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2049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2050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2051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2052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2053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2054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2055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2056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2057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2058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2059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2060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2061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2062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2063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2064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2065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2066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2067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2068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2069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2070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2071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2072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2073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2074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2075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2076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2077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2078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2079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2080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2081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2082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2083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2084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2085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2086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2087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2088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2089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2090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2091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2092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2093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2094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2095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2096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2097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2098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2099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2100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2101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2102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2103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2104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2105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2106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2107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2108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2109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2110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2111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2112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2113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2114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2115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2116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2117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2118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2119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2120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2121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2122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2123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2124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2125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2126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2127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2128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2129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2130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2131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2132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2133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2134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2135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2136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2137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2138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2139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2140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2141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2142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2143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2144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2145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2146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2147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2148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2149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2150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2151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2152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2153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2154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2155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2156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2157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2158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2159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2160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2161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2162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2163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2164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2165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2166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2167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2168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2169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2170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2171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2172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2173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2174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2175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2176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2177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2178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2179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2180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2181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2182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2183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2184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2185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2186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2187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2188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2189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2190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2191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2192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2193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2194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2195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2196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2197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2198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2199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2200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2201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2202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2203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2204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2205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2206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2207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2208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2209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2210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2211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2212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2213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2214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2215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2216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2217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2218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2219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2220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2221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2222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2223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2224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2225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2226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2227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2228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2229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2230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2231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2232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2233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2234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2235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2236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2237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2238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2239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2240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2241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2242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2243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2244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2245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2246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2247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2248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2249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2250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2251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2252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2253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2254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2255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2256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2257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2258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2259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2260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2261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2262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2263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2264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2265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2266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2267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2268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2269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2270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2271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2272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2273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2274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2275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2276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2277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2278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2279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2280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2281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2282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2283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2284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2285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2286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2287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2288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2289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2290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2291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2292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2293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2294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2295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2296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2297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2298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2299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2300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2301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2302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2303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2304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2305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2306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2307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2308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2309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2310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2311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2312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2313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2314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2315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2316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2317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2318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2319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2320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2321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2322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2323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2324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2325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2326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2327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2328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2329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2330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2331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2332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2333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2334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2335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2336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2337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2338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2339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2340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2341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2342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2343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2344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2345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2346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2347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2348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2349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2350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2351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2352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2353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2354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2355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2356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2357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2358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2359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2360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2361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2362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2363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2364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2365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2366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2367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2368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2369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2370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2371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2372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2373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2374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2375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2376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2377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2378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2379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2380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2381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2382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2383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2384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2385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2386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2387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2388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2389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2390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2391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2392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2393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2394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2395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2396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2397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2398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2399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2400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2401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2402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2403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2404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2405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2406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2407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2408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2409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2410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2411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2412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2413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2414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2415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2416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2417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2418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2419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2420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2421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2422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2423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2424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2425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2426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2427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2428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2429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2430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2431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2432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2433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2434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2435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2436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2437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2438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2439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2440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2441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2442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2443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2444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2445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2446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2447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2448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2449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2450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2451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2452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2453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2454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2455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2456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2457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2458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2459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2460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2461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2462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2463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2464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2465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2466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2467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2468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2469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2470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2471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2472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2473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2474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2475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2476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2477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2478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2479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2480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2481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2482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2483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2484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2485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2486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2487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2488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2489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2490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2491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2492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2493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2494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2495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2496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2497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2498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2499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2500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2501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2502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2503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2504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2505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2506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2507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2508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2509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2510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2511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2512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2513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2514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2515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2516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2517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2518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2519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2520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2521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2522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2523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2524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2525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2526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2527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2528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2529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2530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2531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2532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2533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2534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2535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2536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2537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2538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2539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2540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2541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2542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2543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2544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2545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2546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2547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2548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2549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2550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2551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2552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2553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2554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2555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2556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2557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2558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2559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2560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2561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2562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2563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2564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2565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2566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2567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2568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2569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2570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2571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2572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2573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2574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2575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2576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2577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2578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2579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2580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2581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2582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2583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2584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2585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2586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2587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2588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2589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2590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2591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2592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2593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2594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2595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2596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2597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2598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2599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2600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2601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2602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2603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2604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2605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2606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2607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2608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2609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2610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2611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2612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2613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2614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2615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2616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2617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2618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2619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2620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2621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2622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2623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2624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2625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2626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2627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2628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2629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2630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2631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2632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2633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2634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2635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2636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2637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2638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2639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2640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2641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2642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2643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2644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2645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2646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2647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2648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2649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2650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2651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2652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2653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2654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2655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2656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2657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2658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2659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2660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2661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2662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2663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2664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2665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2666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2667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2668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2669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2670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2671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2672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2673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2674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2675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2676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2677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2678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2679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2680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2681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2682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2683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2684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2685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2686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2687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2688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2689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2690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2691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2692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2693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2694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2695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2696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2697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2698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2699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2700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2701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2702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2703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2704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2705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2706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2707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2708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2709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2710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2711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2712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2713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2714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2715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2716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2717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2718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2719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2720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2721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2722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2723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2724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2725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2726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2727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2728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2729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2730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2731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2732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2733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2734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2735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2736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2737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2738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2739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2740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2741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2742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2743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2744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2745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2746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2747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2748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2749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2750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2751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2752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2753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2754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2755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2756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2757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2758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2759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2760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2761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2762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2763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2764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2765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2766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2767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2768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2769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2770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2771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2772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2773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2774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2775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2776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2777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2778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2779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2780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2781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2782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2783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2784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2785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2786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2787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2788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2789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2790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2791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2792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2793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2794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2795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2796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2797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2798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2799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2800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2801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2802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2803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2804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2805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2806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2807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2808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2809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2810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2811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2812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2813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2814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2815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2816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2817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2818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2819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2820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2821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2822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2823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2824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2825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2826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2827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2828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2829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2830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2831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2832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2833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2834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2835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2836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2837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2838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2839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2840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2841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2842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2843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2844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2845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2846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2847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2848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2849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2850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2851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2852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2853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2854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2855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2856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2857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2858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2859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2860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2861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2862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2863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2864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2865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2866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2867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2868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2869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2870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2871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2872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2873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2874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2875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2876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2877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2878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2879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2880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2881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2882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2883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2884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2885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2886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2887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2888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2889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2890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2891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2892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2893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2894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2895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2896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2897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2898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2899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2900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2901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2902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2903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2904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2905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2906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2907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2908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2909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2910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2911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2912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2913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2914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2915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2916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2917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2918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2919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2920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2921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2922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2923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2924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2925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2926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2927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2928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2929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2930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2931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2932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2933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2934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2935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2936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2937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2938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2939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2940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2941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2942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2943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2944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2945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2946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2947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2948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2949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2950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2951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2952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2953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2954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2955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2956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2957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2958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2959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2960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2961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2962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2963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2964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2965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2966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2967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2968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2969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2970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2971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2972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2973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2974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2975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2976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2977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2978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2979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2980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2981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2982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2983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2984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2985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2986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2987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2988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2989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2990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2991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2992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2993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2994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2995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2996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2997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2998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2999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3000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3001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3002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3003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3004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3005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3006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3007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3008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3009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3010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3011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3012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3013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3014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3015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3016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3017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3018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3019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3020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3021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3022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3023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3024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3025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3026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3027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3028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3029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3030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3031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3032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3033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3034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3035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3036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3037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3038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3039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3040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3041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3042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3043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3044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3045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3046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3047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3048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3049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3050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3051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3052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3053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3054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3055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3056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3057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3058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3059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3060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3061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3062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3063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3064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3065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3066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3067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3068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3069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3070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3071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3072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3073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3074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3075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3076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3077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3078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3079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3080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3081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3082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3083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3084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3085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3086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3087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3088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3089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3090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3091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3092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3093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3094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3095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3096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3097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3098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3099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3100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3101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3102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3103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3104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3105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3106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3107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3108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3109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3110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3111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3112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3113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3114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3115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3116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3117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3118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3119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3120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3121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3122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3123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3124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3125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3126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3127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3128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3129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3130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3131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3132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3133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3134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3135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3136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3137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3138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3139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3140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3141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3142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3143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3144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3145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3146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3147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3148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3149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3150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3151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3152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3153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3154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3155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3156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3157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3158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3159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3160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3161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3162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3163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3164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3165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3166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3167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3168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3169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3170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3171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3172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3173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3174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3175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3176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3177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3178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3179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3180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3181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3182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3183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3184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3185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3186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3187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3188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3189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3190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3191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3192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3193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3194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3195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3196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3197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3198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3199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3200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3201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3202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3203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3204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3205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3206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3207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3208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3209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3210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3211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3212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3213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3214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3215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3216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3217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3218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3219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3220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3221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3222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3223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3224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3225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3226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3227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3228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3229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3230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3231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3232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3233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3234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3235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3236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3237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3238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3239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3240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3241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3242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3243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3244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3245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3246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3247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3248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3249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3250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3251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3252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3253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3254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3255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3256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3257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3258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3259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3260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3261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3262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3263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3264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3265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3266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3267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3268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3269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3270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3271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3272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3273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3274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3275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3276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3277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3278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3279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3280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3281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3282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3283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3284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3285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3286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3287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3288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3289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3290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3291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3292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3293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3294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3295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3296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3297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3298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3299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3300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3301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3302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3303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3304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3305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3306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3307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3308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3309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3310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3311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3312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3313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3314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3315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3316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3317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3318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3319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3320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3321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3322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3323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3324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3325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3326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3327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3328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3329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3330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3331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3332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3333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3334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3335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3336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3337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3338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3339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3340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3341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3342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3343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3344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3345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3346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3347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3348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3349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3350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3351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3352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3353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3354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3355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3356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3357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3358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3359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3360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3361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3362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3363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3364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3365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3366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3367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3368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3369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3370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3371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3372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3373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3374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3375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3376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3377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3378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3379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3380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3381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3382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3383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3384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3385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3386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3387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3388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3389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3390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3391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3392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3393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3394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3395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3396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3397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3398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3399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3400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3401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3402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3403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3404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3405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3406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3407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3408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3409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3410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3411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3412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3413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3414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3415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3416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3417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3418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3419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3420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3421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3422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3423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3424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3425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3426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3427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3428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3429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3430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3431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3432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3433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3434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3435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3436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3437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3438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3439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3440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3441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3442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3443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3444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3445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3446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3447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3448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3449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3450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3451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3452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3453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3454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3455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3456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3457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3458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3459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3460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3461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3462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3463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3464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3465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3466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3467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3468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3469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3470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3471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3472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3473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3474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3475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3476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3477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3478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3479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3480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3481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3482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3483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3484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3485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3486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3487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3488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3489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3490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3491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3492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3493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3494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3495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3496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3497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3498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3499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3500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3501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3502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3503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3504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3505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3506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3507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3508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3509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3510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3511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3512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3513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3514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3515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3516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3517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3518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3519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3520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3521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3522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3523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3524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3525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3526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3527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3528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3529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3530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3531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3532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3533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3534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3535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3536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3537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3538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3539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3540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3541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3542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3543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3544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3545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3546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3547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3548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3549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3550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3551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3552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3553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3554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3555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3556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3557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3558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3559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3560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3561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3562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3563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3564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3565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3566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3567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3568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3569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3570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3571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3572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3573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3574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3575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3576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3577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3578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3579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3580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3581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3582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3583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3584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3585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3586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3587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3588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3589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3590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3591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3592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3593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3594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3595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3596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3597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3598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3599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3600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3601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3602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3603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3604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3605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3606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3607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3608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3609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3610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3611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3612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3613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3614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3615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3616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3617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3618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3619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3620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3621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3622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3623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3624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3625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3626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3627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3628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3629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3630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3631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3632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3633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3634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3635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3636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3637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3638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3639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3640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3641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3642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3643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3644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3645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3646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3647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3648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3649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3650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3651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3652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3653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3654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3655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3656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3657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3658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3659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3660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3661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3662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3663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3664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3665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3666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3667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3668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3669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3670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3671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3672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3674</v>
      </c>
      <c r="B1" s="100" t="s">
        <v>1383</v>
      </c>
      <c r="C1" s="100" t="s">
        <v>1382</v>
      </c>
      <c r="D1" s="100" t="s">
        <v>1378</v>
      </c>
      <c r="E1" s="100" t="s">
        <v>1379</v>
      </c>
      <c r="F1" s="100" t="s">
        <v>1380</v>
      </c>
      <c r="G1" s="100" t="s">
        <v>1381</v>
      </c>
      <c r="H1" s="100"/>
      <c r="I1" s="100" t="s">
        <v>3682</v>
      </c>
      <c r="J1" s="100" t="s">
        <v>1139</v>
      </c>
      <c r="K1" s="100" t="s">
        <v>1269</v>
      </c>
      <c r="L1" s="100" t="s">
        <v>3683</v>
      </c>
      <c r="M1" s="100" t="s">
        <v>3684</v>
      </c>
      <c r="N1" s="100" t="s">
        <v>191</v>
      </c>
      <c r="O1" s="100" t="s">
        <v>3687</v>
      </c>
      <c r="P1" s="145" t="s">
        <v>3688</v>
      </c>
      <c r="Q1" s="145" t="s">
        <v>3689</v>
      </c>
      <c r="R1" s="100" t="s">
        <v>940</v>
      </c>
      <c r="S1" s="100" t="s">
        <v>3685</v>
      </c>
      <c r="T1" s="100" t="s">
        <v>1139</v>
      </c>
      <c r="U1" s="100" t="s">
        <v>1269</v>
      </c>
      <c r="V1" s="100" t="s">
        <v>3686</v>
      </c>
      <c r="W1" s="100" t="s">
        <v>3684</v>
      </c>
      <c r="X1" s="100" t="s">
        <v>191</v>
      </c>
    </row>
    <row r="2" spans="1:35" x14ac:dyDescent="0.25">
      <c r="A2" s="100">
        <v>1</v>
      </c>
      <c r="B2" s="142" t="s">
        <v>3673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3672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3671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3675</v>
      </c>
      <c r="AC4" s="100" t="s">
        <v>3676</v>
      </c>
      <c r="AD4" s="100" t="s">
        <v>3677</v>
      </c>
      <c r="AE4" s="100" t="s">
        <v>3678</v>
      </c>
      <c r="AH4" s="100" t="s">
        <v>3679</v>
      </c>
      <c r="AI4" s="114">
        <v>100000000</v>
      </c>
    </row>
    <row r="5" spans="1:35" x14ac:dyDescent="0.25">
      <c r="A5" s="100">
        <v>4</v>
      </c>
      <c r="B5" s="142" t="s">
        <v>3670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3669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3680</v>
      </c>
      <c r="AI6" s="100">
        <v>25</v>
      </c>
    </row>
    <row r="7" spans="1:35" x14ac:dyDescent="0.25">
      <c r="A7" s="100">
        <v>6</v>
      </c>
      <c r="B7" s="142" t="s">
        <v>3668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3667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3666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3665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3681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3664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3663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3662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3661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3660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3659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3658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3657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3656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3655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3654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3653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3652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3651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3650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3649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3648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3647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3646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3645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3644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3643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3642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3641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3640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3639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3638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3637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3636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3635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3634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3633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3632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3631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3630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3629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3628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3627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3626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3625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3624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3623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3622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3621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3620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3619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3618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3617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3616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3615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3614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3613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3612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3611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3610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3609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3608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3607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3606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3605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3604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3603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3602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3601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3600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3599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3598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3597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3596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3595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3594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3593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3592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3591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3590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3589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3588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3587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3586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3585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3584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3583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3582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3581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3580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3579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3578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3577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3576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3575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3574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3573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3572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3571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3570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3569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3568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3567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3566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3565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3564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3563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3562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3561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3560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3559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3558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3557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3556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3555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3554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3553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3552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3551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3550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3549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3548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3547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3546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3545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3544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3543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3542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3541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3540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3539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3538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3537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3536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3535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3534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3533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3532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3531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3530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3529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3528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3527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3526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3525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3524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3523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3522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3521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3520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3519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3518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3517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3516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3515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3514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3513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3512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3511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3510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3509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3508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3507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3506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3505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3504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3503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3502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3501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3500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3499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3498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3497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3496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3495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3494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3493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3492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3491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3490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3489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3488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3487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3486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3485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3484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3483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3482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3481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3480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3479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3478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3477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3476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3475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3474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3473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3472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3471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3470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3469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3468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3467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3466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3465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3464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3463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3462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3461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3460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3459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3458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3457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3456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3455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3454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3453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3452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3451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3450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3449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3448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3447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3446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3445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3444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3443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3442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3441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3440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3439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3438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3437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3436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3435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3434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3433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3432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3431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3430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3429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3428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3427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3426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3425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3424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3423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3422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3421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3420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3419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3418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3417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3416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3415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3414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3413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3412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3411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3410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3409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3408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3407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3406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3405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3404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3403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3402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3401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3400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3399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3398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3397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3396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3395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3394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3393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3392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3391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3390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3389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3388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3387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3386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3385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3384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3383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3382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3381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3380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3379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3378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3377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3376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3375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3374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3373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3372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3371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3370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3369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3368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3367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3366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3365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3364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3363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3362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3361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3360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3359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3358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3357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3356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3355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3354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3353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3352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3351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3350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3349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3348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3347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3346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3345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3344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3343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3342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3341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3340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3339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3338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3337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3336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3335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3334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3333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3332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3331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3330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3329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3328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3327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3326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3325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3324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3323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3322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3321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3320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3319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3318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3317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3316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3315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3314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3313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3312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3311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3310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3309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3308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3307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3306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3305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3304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3303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3302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3301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3300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3299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3298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3297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3296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3295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3294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3293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3292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3291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3290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3289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3288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3287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3286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3285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3284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3283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3282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3281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3280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3279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3278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3277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3276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3275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3274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3273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3272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3271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3270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3269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3268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3267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3266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3265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3264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3263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3262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3261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3260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3259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3258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3257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3256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3255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3254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3253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3252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3251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3250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3249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3248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3247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3246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3245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3244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3243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3242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3241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3240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3239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3238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3237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3236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3235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3234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3233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3232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3231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3230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3229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3228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3227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3226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3225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3224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3223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3222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3221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3220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3219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3218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3217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3216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3215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3214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3213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3212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3211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3210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3209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3208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3207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3206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3205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3204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3203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3202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3201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3200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3199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3198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3197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3196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3195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3194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3193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3192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3191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3190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3189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3188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3187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3186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3185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3184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3183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3182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3181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3180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3179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3178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3177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3176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3175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3174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3173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3172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3171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3170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3169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3168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3167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3166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3165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3164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3163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3162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3161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3160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3159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3158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3157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3156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3155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3154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3153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3152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3151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3150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3149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3148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3147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3146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3145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3144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3143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3142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3141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3140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3139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3138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3137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3136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3135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3134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3133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3132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3131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3130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3129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3128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3127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3126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3125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3124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3123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3122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3121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3120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3119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3118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3117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3116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3115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3114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3113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3112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3111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3110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3109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3108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3107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3106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3105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3104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3103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3102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3101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3100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3099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3098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3097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3096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3095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3094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3093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3092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3091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3090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3089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3088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3087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3086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3085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3084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3083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3082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3081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3080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3079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3078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3077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3076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3075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3074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3073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3072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3071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3070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3069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3068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3067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3066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3065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3064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3063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3062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3061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3060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3059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3058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3057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3056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3055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3054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3053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3052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3051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3050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3049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3048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3047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3046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3045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3044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3043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3042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3041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3040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3039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3038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3037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3036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3035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3034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3033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3032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3031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3030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3029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3028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3027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3026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3025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3024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3023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3022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3021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3020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3019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3018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3017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3016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3015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3014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3013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3012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3011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3010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3009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3008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3007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3006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3005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3004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3003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3002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3001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3000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2999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2998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2997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2996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2995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2994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2993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2992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2991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2990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2989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2988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2987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2986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2985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2984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2983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2982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2981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2980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2979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2978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2977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2976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2975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2974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2973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2972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2971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2970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2969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2968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2967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2966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2965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2964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2963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2962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2961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2960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2959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2958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2957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2956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2955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2954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2953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2952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2951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2950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2949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2948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2947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2946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2945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2944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2943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2942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2941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2940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2939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2938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2937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2936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2935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2934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2933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2932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2931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2930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2929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2928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2927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2926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2925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2924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2923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2922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2921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2920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2919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2918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2917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2916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2915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2914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2913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2912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2911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2910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2909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2908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2907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2906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2905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2904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2903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2902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2901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2900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2899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2898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2897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2896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2895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2894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2893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2892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2891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2890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2889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2888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2887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2886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2885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2884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2883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2882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2881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2880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2879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2878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2877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2876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2875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2874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2873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2872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2871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2870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2869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2868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2867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2866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2865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2864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2863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2862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2861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2860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2859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2858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2857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2856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2855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2854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2853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2852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2851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2850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2849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2848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2847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2846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2845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2844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2843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2842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2841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2840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2839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2838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2837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2836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2835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2834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2833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2832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2831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2830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2829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2828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2827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2826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2825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2824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2823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2822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2821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2820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2819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2818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2817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2816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2815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2814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2813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2812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2811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2810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2809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2808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2807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2806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2805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2804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2803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2802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2801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2800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2799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2798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2797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2796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2795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2794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2793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2792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2791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2790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2789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2788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2787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2786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2785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2784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2783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2782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2781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2780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2779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2778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2777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2776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2775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2774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2773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2772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2771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2770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2769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2768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2767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2766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2765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2764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2763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2762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2761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2760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2759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2758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2757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2756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2755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2754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2753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2752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2751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2750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2749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2748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2747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2746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2745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2744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2743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2742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2741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2740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2739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2738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2737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2736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2735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2734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2733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2732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2731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2730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2729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2728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2727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2726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2725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2724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2723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2722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2721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2720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2719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2718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2717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2716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2715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2714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2713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2712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2711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2710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2709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2708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2707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2706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2705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2704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2703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2702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2701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2700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2699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2698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2697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2696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2695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2694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2693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2692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2691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2690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2689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2688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2687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2686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2685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2684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2683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2682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2681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2680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2679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2678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2677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2676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2675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2674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2673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2672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2671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2670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2669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2668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2667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2666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2665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2664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2663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2662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2661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2660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2659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2658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2657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2656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2655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2654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2653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2652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2651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2650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2649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2648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2647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2646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2645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2644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2643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2642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2641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2640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2639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2638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2637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2636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2635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2634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2633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2632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2631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2630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2629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2628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2627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2626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2625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2624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2623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2622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2621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2620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2619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2618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2617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2616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2615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2614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2613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2612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2611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2610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2609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2608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2607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2606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2605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2604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2603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2602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2601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2600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2599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2598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2597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2596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2595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2594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2593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2592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2591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2590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2589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2588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2587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2586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2585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2584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2583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2582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2581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2580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2579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2578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2577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2576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2575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2574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2573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2572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2571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2570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2569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2568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2567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2566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2565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2564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2563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2562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2561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2560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2559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2558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2557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2556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2555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2554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2553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2552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2551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2550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2549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2548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2547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2546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2545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2544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2543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2542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2541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2540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2539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2538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2537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2536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2535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2534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2533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2532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2531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2530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2529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2528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2527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2526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2525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2524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2523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2522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2521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2520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2519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2518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2517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2516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2515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2514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2513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2512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2511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2510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2509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2508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2507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2506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2505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2504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2503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2502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2501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2500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2499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2498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2497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2496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2495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2494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2493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2492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2491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2490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2489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2488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2487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2486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2485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2484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2483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2482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2481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2480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2479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2478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2477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2476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2475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2474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2473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2472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2471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2470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2469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2468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2467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2466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2465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2464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2463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2462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2461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2460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2459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2458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2457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2456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2455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2454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2453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2452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2451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2450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2449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2448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2447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2446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2445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2444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2443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2442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2441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2440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2439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2438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2437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2436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2435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2434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2433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2432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2431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2430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2429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2428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2427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2426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2425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2424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2423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2422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2421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2420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2419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2418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2417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2416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2415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2414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2413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2412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2411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2410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2409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2408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2407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2406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2405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2404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2403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2402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2401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2400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2399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2398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2397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2396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2395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2394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2393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2392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2391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2390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2389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2388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2387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2386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2385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2384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2383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2382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2381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2380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2379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2378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2377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2376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2375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2374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2373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2372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2371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2370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2369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2368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2367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2366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2365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2364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2363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2362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2361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2360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2359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2358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2357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2356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2355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2354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2353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2352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2351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2350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2349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2348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2347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2346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2345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2344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2343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2342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2341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2340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2339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2338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2337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2336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2335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2334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2333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2332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2331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2330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2329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2328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2327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2326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2325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2324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2323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2322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2321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2320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2319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2318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2317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2316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2315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2314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2313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2312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2311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2310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2309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2308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2307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2306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2305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2304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2303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2302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2301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2300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2299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2298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2297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2296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2295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2294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2293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2292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2291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2290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2289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2288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2287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2286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2285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2284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2283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2282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2281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2280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2279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2278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2277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2276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2275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2274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2273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2272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2271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2270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2269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2268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2267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2266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2265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2264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2263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2262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2261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2260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2259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2258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2257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2256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2255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2254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2253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2252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2251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2250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2249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2248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2247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2246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2245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2244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2243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2242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2241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2240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2239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2238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2237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2236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2235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2234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2233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2232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2231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2230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2229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2228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2227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2226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2225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2224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2223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2222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2221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2220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2219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2218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2217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2216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2215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2214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2213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2212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2211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2210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2209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2208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2207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2206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2205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2204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2203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2202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2201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2200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2199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2198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2197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2196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2195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2194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2193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2192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2191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2190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2189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2188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2187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2186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2185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2184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2183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2182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2181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2180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2179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2178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2177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2176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2175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2174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2173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2172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2171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2170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2169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2168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2167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2166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2165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2164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2163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2162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2161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2160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2159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2158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2157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2156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2155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2154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2153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2152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2151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2150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2149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2148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2147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2146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2145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2144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2143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2142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2141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2140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2139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2138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2137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2136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2135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2134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2133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2132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2131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2130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2129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2128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2127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2126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2125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2124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2123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2122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2121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2120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2119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2118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2117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2116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2115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2114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2113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2112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2111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2110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2109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2108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2107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2106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2105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2104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2103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2102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2101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2100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2099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2098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2097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2096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2095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2094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2093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2092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2091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2090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2089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2088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2087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2086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2085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2084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2083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2082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2081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2080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2079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2078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2077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2076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2075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2074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2073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2072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2071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2070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2069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2068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2067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2066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2065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2064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2063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2062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2061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2060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2059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2058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2057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2056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2055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2054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2053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2052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2051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2050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2049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2048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2047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2046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2045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2044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2043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2042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2041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2040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2039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2038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2037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2036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2035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2034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2033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2032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2031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2030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2029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2028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2027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2026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2025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2024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2023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2022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2021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2020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2019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2018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2017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2016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2015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2014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2013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2012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2011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2010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2009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2008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2007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2006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2005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2004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2003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2002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2001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2000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1999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1998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1997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1996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1995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1994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1993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1992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1991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1990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1989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1988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1987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1986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1985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1984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1983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1982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1981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1980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1979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1978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1977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1976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1975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1974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1973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1972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1971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1970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1969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1968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1967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1966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1965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1964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1963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1962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1961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1960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1959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1958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1957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1956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1955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1954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1953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1952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1951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1950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1949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1948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1947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1946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1945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1944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1943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1942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1941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1940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1939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1938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1937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1936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1935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1934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1933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1932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1931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1930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1929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1928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1927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1926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1925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1924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1923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1922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1921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1920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1919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1918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1917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1916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1915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1914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1913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1912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1911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1910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1909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1908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1907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1906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1905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1904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1903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1902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1901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1900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1899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1898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1897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1896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1895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1894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1893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1892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1891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1890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1889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1888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1887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1886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1885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1884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1883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1882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1881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1880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1879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1878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1877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1876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1875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1874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1873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1872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1871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1870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1869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1868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1867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1866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1865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1864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1863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1862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1861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1860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1859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1858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1857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1856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1855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1854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1853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1852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1851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1850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1849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1848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1847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1846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1845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1844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1843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1842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1841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1840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1839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1838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1837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1836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1835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1834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1833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1832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1831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1830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1829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1828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1827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1826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1825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1824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1823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1822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1821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1820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1819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1818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1817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1816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1815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1814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1813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1812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1811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1810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1809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1808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1807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1806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1805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1804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1803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1802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1801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1800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1799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1798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1797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1796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1795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1794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1793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1792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1791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1790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1789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1788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1787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1786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1785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1784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1783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1782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1781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1780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1779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1778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1777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1776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1775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1774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1773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1772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1771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1770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1769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1768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1767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1766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1765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1764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1763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1762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1761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1760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1759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1758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1757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1756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1755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1754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1753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1752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1751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1750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1749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1748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1747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1746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1745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1744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1743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1742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1741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1740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1739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1738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1737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1736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1735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1734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1733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1732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1731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1730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1729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1728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1727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1726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1725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1724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1723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1722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1721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1720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1719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1718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1717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1716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1715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1714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1713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1712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1711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1710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1709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1708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1707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1706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1705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1704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1703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1702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1701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1700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1699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1698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1697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1696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1695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1694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1693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1692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1691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1690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1689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1688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1687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1686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1685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1684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1683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1682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1681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1680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1679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1678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1677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1676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1675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1674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1673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1672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1671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1670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1669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1668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1667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1666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1665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1664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1663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1662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1661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1660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1659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1658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1657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1656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1655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1654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1653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1652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1651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1650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1649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1648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1647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1646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1645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1644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1643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1642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1641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1640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1639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1638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1637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1636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1635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1634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1633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1632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1631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1630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1629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1628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1627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1626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1625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1624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1623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1622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1621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1620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1619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1618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1617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1616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1615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1614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1613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1612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1611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1610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1609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1608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1607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1606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1605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1604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1603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1602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1601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1600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1599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1598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1597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1596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1595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1594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1593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1592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1591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1590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1589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1588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1587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1586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1585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1584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1583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1582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1581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1580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1579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1578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1577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1576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1575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1574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1573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1572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1571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1570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1569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1568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1567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1566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1565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1564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1563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1562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1561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1560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1559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1558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1557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1556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1555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1554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1553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1552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1551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1550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1549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1548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1547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1546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1545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1544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1543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1542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1541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1540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1539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1538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1537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1536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1535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1534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1533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1532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1531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1530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1529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1528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1527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1526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1525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1524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1523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1522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1521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1520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1519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1518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1517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1516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1515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1514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1513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1512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1511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1510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1509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1508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1507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1506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1505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1504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1503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1502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1501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1500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1499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1498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1497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1496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1495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1494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1493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1492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1491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1490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1489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1488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1487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1486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1485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1484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1483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1482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1481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1480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1479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1478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1477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1476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1475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1474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1473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1472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1471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1470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1469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1468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1467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1466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1465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1464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1463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1462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1461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1460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1459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1458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1457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1456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1455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1454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1453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1452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1451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1450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1449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1448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1447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1446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1445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1444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1443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1442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1441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1440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1439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1438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1437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1436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1435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1434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1433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1432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1431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1430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1429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1428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1427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1426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1425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1424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1423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1422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1421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1420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1419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1418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1417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1416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1415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1414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1413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1412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1411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1410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1409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1408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1407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1406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1405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1404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1403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1402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1401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1400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1399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1398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1397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1396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1395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1394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1393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1392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1391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1390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1389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1388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1387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1386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1385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1384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1377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1376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1375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1374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1373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1372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1371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1370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1369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1368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1367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1366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1365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1364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1363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1362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1361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1360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1359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1358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1357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1356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1355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1354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1353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1352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1351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1350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1349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1348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1347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1346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1345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1344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1343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1342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1341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1340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1339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1338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1337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1336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1335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1334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1333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1332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1331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1330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1329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1328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1327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1326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1325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1324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1323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1322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1321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1320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1319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1318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1317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1316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1315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1314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1313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1312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1311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1310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1309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1308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1307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1306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1305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1304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1303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1302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1301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1300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1299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1298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1297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1296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1295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1294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1293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1292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1291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1290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1289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1288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1287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1286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1285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1284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1283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1282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1281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1280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1279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1278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3990</v>
      </c>
      <c r="D3" t="s">
        <v>3989</v>
      </c>
      <c r="G3" t="s">
        <v>3991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3992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3886</v>
      </c>
      <c r="R8" t="s">
        <v>3941</v>
      </c>
      <c r="S8" t="s">
        <v>3996</v>
      </c>
    </row>
    <row r="9" spans="2:19" x14ac:dyDescent="0.25">
      <c r="C9" s="114">
        <f>C6*(1+D6/100)</f>
        <v>3255776.0000000005</v>
      </c>
      <c r="P9" t="s">
        <v>973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944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شهریور97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2018-09-03T13:37:02Z</dcterms:modified>
</cp:coreProperties>
</file>