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E243" i="15" l="1"/>
  <c r="N36" i="18" l="1"/>
  <c r="E242" i="15"/>
  <c r="Q29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<sst xmlns="http://schemas.openxmlformats.org/spreadsheetml/2006/main" count="8334" uniqueCount="3913">
  <si>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</si>
  <si>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</si>
  <si>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</si>
  <si>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</si>
  <si>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</si>
  <si>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</si>
  <si>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</si>
  <si>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</si>
  <si>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</si>
  <si>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</si>
  <si>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</si>
  <si>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</si>
  <si>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</si>
  <si>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</si>
  <si>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</si>
  <si>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</si>
  <si>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</si>
  <si>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</si>
  <si>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</si>
  <si>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</si>
  <si>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</si>
  <si>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</si>
  <si>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</si>
  <si>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</si>
  <si>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</si>
  <si>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</si>
  <si>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</si>
  <si>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</si>
  <si>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</si>
  <si>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</si>
  <si>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</si>
  <si>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</si>
  <si>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</si>
  <si>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</si>
  <si>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</si>
  <si>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</si>
  <si>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</si>
  <si>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</si>
  <si>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</si>
  <si>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</si>
  <si>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</si>
  <si>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</si>
  <si>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</si>
  <si>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</si>
  <si>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</si>
  <si>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</si>
  <si>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</si>
  <si>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</si>
  <si>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</si>
  <si>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</si>
  <si>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</si>
  <si>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</si>
  <si>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</si>
  <si>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</si>
  <si>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</si>
  <si>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</si>
  <si>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</si>
  <si>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</si>
  <si>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</si>
  <si>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</si>
  <si>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</si>
  <si>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</si>
  <si>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</si>
  <si>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</si>
  <si>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</si>
  <si>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</si>
  <si>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</si>
  <si>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</si>
  <si>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</si>
  <si>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</si>
  <si>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</si>
  <si>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</si>
  <si>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</si>
  <si>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</si>
  <si>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</si>
  <si>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</si>
  <si>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</si>
  <si>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</si>
  <si>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</si>
  <si>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</si>
  <si>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</si>
  <si>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</si>
  <si>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</si>
  <si>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</si>
  <si>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</si>
  <si>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</si>
  <si>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</si>
  <si>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</si>
  <si>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</si>
  <si>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</si>
  <si>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</si>
  <si>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</si>
  <si>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</si>
  <si>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</si>
  <si>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</si>
  <si>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</si>
  <si>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</si>
  <si>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</si>
  <si>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</si>
  <si>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</si>
  <si>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</si>
  <si>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</si>
  <si>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</si>
  <si>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</si>
  <si>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</si>
  <si>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</si>
  <si>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</si>
  <si>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</si>
  <si>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</si>
  <si>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</si>
  <si>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</si>
  <si>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</si>
  <si>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</si>
  <si>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</si>
  <si>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</si>
  <si>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</si>
  <si>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</si>
  <si>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</si>
  <si>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</si>
  <si>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</si>
  <si>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</si>
  <si>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</si>
  <si>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</si>
  <si>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</si>
  <si>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</si>
  <si>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</si>
  <si>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</si>
  <si>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</si>
  <si>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</si>
  <si>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</si>
  <si>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</si>
  <si>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</si>
  <si>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</si>
  <si>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</si>
  <si>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</si>
  <si>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</si>
  <si>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</si>
  <si>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</si>
  <si>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</si>
  <si>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</si>
  <si>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</si>
  <si>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</si>
  <si>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</si>
  <si>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</si>
  <si>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</si>
  <si>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</si>
  <si>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</si>
  <si>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</si>
  <si>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</si>
  <si>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</si>
  <si>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</si>
  <si>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</si>
  <si>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</si>
  <si>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</si>
  <si>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</si>
  <si>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</si>
  <si>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</si>
  <si>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</si>
  <si>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</si>
  <si>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</si>
  <si>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</si>
  <si>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</si>
  <si>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</si>
  <si>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</si>
  <si>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</si>
  <si>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</si>
  <si>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</si>
  <si>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</si>
  <si>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</si>
  <si>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</si>
  <si>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</si>
  <si>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</si>
  <si>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</si>
  <si>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</si>
  <si>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</si>
  <si>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</si>
  <si>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</si>
  <si>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</si>
  <si>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</si>
  <si>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</si>
  <si>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</si>
  <si>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</si>
  <si>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</si>
  <si>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</si>
  <si>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</si>
  <si>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</si>
  <si>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</si>
  <si>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</si>
  <si>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</si>
  <si>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</si>
  <si>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</si>
  <si>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</si>
  <si>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</si>
  <si>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</si>
  <si>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</si>
  <si>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</si>
  <si>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</si>
  <si>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</si>
  <si>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</si>
  <si>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</si>
  <si>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</si>
  <si>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</si>
  <si>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</si>
  <si>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</si>
  <si>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</si>
  <si>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</si>
  <si>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</si>
  <si>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</si>
  <si>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</si>
  <si>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</si>
  <si>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</si>
  <si>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</si>
  <si>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</si>
  <si>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</si>
  <si>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</si>
  <si>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</si>
  <si>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</si>
  <si>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</si>
  <si>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</si>
  <si>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</si>
  <si>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</si>
  <si>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</si>
  <si>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</si>
  <si>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</si>
  <si>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</si>
  <si>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</si>
  <si>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</si>
  <si>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</si>
  <si>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</si>
  <si>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</si>
  <si>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</si>
  <si>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</si>
  <si>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</si>
  <si>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</si>
  <si>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</si>
  <si>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</si>
  <si>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</si>
  <si>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</si>
  <si>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</si>
  <si>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</si>
  <si>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</si>
  <si>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</si>
  <si>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</si>
  <si>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</si>
  <si>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</si>
  <si>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</si>
  <si>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</si>
  <si>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</si>
  <si>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</si>
  <si>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</si>
  <si>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</si>
  <si>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</si>
  <si>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</si>
  <si>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</si>
  <si>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</si>
  <si>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</si>
  <si>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</si>
  <si>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</si>
  <si>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</si>
  <si>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</si>
  <si>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</si>
  <si>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</si>
  <si>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</si>
  <si>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</si>
  <si>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</si>
  <si>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</si>
  <si>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</si>
  <si>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</si>
  <si>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</si>
  <si>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</si>
  <si>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</si>
  <si>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</si>
  <si>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</si>
  <si>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</si>
  <si>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</si>
  <si>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</si>
  <si>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</si>
  <si>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</si>
  <si>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</si>
  <si>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</si>
  <si>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</si>
  <si>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</si>
  <si>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</si>
  <si>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</si>
  <si>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</si>
  <si>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</si>
  <si>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</si>
  <si>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</si>
  <si>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</si>
  <si>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</si>
  <si>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</si>
  <si>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</si>
  <si>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</si>
  <si>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</si>
  <si>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</si>
  <si>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</si>
  <si>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</si>
  <si>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</si>
  <si>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</si>
  <si>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</si>
  <si>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</si>
  <si>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</si>
  <si>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</si>
  <si>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</si>
  <si>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</si>
  <si>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</si>
  <si>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</si>
  <si>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</si>
  <si>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</si>
  <si>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</si>
  <si>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</si>
  <si>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</si>
  <si>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</si>
  <si>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</si>
  <si>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</si>
  <si>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</si>
  <si>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</si>
  <si>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</si>
  <si>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</si>
  <si>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</si>
  <si>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</si>
  <si>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</si>
  <si>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</si>
  <si>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</si>
  <si>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</si>
  <si>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</si>
  <si>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</si>
  <si>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</si>
  <si>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</si>
  <si>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</si>
  <si>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</si>
  <si>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</si>
  <si>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</si>
  <si>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</si>
  <si>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</si>
  <si>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</si>
  <si>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</si>
  <si>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</si>
  <si>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</si>
  <si>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</si>
  <si>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</si>
  <si>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</si>
  <si>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</si>
  <si>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</si>
  <si>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</si>
  <si>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</si>
  <si>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</si>
  <si>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</si>
  <si>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</si>
  <si>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</si>
  <si>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</si>
  <si>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</si>
  <si>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</si>
  <si>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</si>
  <si>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</si>
  <si>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</si>
  <si>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</si>
  <si>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</si>
  <si>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</si>
  <si>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</si>
  <si>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</si>
  <si>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</si>
  <si>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</si>
  <si>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</si>
  <si>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</si>
  <si>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</si>
  <si>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</si>
  <si>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</si>
  <si>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</si>
  <si>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</si>
  <si>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</si>
  <si>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</si>
  <si>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</si>
  <si>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</si>
  <si>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</si>
  <si>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</si>
  <si>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</si>
  <si>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</si>
  <si>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</si>
  <si>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</si>
  <si>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</si>
  <si>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</si>
  <si>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</si>
  <si>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</si>
  <si>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</si>
  <si>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</si>
  <si>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</si>
  <si>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</si>
  <si>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</si>
  <si>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</si>
  <si>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</si>
  <si>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</si>
  <si>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</si>
  <si>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</si>
  <si>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</si>
  <si>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</si>
  <si>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</si>
  <si>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</si>
  <si>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</si>
  <si>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</si>
  <si>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</si>
  <si>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</si>
  <si>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</si>
  <si>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</si>
  <si>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</si>
  <si>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</si>
  <si>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</si>
  <si>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</si>
  <si>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</si>
  <si>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</si>
  <si>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</si>
  <si>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</si>
  <si>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</si>
  <si>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</si>
  <si>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</si>
  <si>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</si>
  <si>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</si>
  <si>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</si>
  <si>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</si>
  <si>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</si>
  <si>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</si>
  <si>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</si>
  <si>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</si>
  <si>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</si>
  <si>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</si>
  <si>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</si>
  <si>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</si>
  <si>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</si>
  <si>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</si>
  <si>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</si>
  <si>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</si>
  <si>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</si>
  <si>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</si>
  <si>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</si>
  <si>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</si>
  <si>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</si>
  <si>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</si>
  <si>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</si>
  <si>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</si>
  <si>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</si>
  <si>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</si>
  <si>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</si>
  <si>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</si>
  <si>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</si>
  <si>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</si>
  <si>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</si>
  <si>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</si>
  <si>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</si>
  <si>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</si>
  <si>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</si>
  <si>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</si>
  <si>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</si>
  <si>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</si>
  <si>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</si>
  <si>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</si>
  <si>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</si>
  <si>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</si>
  <si>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</si>
  <si>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</si>
  <si>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</si>
  <si>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</si>
  <si>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</si>
  <si>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</si>
  <si>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</si>
  <si>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</si>
  <si>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</si>
  <si>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</si>
  <si>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</si>
  <si>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</si>
  <si>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</si>
  <si>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</si>
  <si>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</si>
  <si>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</si>
  <si>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</si>
  <si>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</si>
  <si>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</si>
  <si>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</si>
  <si>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</si>
  <si>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</si>
  <si>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</si>
  <si>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</si>
  <si>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</si>
  <si>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</si>
  <si>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</si>
  <si>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</si>
  <si>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</si>
  <si>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</si>
  <si>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</si>
  <si>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</si>
  <si>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</si>
  <si>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</si>
  <si>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</si>
  <si>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</si>
  <si>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</si>
  <si>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</si>
  <si>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</si>
  <si>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</si>
  <si>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</si>
  <si>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</si>
  <si>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</si>
  <si>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</si>
  <si>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</si>
  <si>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</si>
  <si>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</si>
  <si>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</si>
  <si>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</si>
  <si>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</si>
  <si>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</si>
  <si>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</si>
  <si>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</si>
  <si>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</si>
  <si>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</si>
  <si>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</si>
  <si>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</si>
  <si>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</si>
  <si>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</si>
  <si>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</si>
  <si>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</si>
  <si>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</si>
  <si>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</si>
  <si>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</si>
  <si>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</si>
  <si>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</si>
  <si>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</si>
  <si>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</si>
  <si>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</si>
  <si>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</si>
  <si>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</si>
  <si>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</si>
  <si>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</si>
  <si>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</si>
  <si>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</si>
  <si>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</si>
  <si>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</si>
  <si>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</si>
  <si>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</si>
  <si>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</si>
  <si>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</si>
  <si>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</si>
  <si>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</si>
  <si>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</si>
  <si>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</si>
  <si>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</si>
  <si>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</si>
  <si>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</si>
  <si>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</si>
  <si>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</si>
  <si>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</si>
  <si>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</si>
  <si>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</si>
  <si>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</si>
  <si>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</si>
  <si>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</si>
  <si>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</si>
  <si>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</si>
  <si>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</si>
  <si>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</si>
  <si>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</si>
  <si>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</si>
  <si>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</si>
  <si>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</si>
  <si>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</si>
  <si>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</si>
  <si>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</si>
  <si>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</si>
  <si>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</si>
  <si>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</si>
  <si>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</si>
  <si>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</si>
  <si>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</si>
  <si>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</si>
  <si>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</si>
  <si>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</si>
  <si>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</si>
  <si>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</si>
  <si>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</si>
  <si>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</si>
  <si>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</si>
  <si>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</si>
  <si>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</si>
  <si>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</si>
  <si>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</si>
  <si>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</si>
  <si>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</si>
  <si>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</si>
  <si>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</si>
  <si>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</si>
  <si>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</si>
  <si>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</si>
  <si>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</si>
  <si>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</si>
  <si>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</si>
  <si>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</si>
  <si>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</si>
  <si>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</si>
  <si>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</si>
  <si>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</si>
  <si>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</si>
  <si>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</si>
  <si>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</si>
  <si>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</si>
  <si>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</si>
  <si>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</si>
  <si>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</si>
  <si>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</si>
  <si>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</si>
  <si>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</si>
  <si>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</si>
  <si>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</si>
  <si>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</si>
  <si>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</si>
  <si>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</si>
  <si>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</si>
  <si>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</si>
  <si>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</si>
  <si>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</si>
  <si>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</si>
  <si>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</si>
  <si>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</si>
  <si>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</si>
  <si>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</si>
  <si>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</si>
  <si>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</si>
  <si>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</si>
  <si>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</si>
  <si>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</si>
  <si>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</si>
  <si>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</si>
  <si>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</si>
  <si>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</si>
  <si>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</si>
  <si>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</si>
  <si>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</si>
  <si>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</si>
  <si>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</si>
  <si>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</si>
  <si>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</si>
  <si>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</si>
  <si>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</si>
  <si>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</si>
  <si>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</si>
  <si>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</si>
  <si>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</si>
  <si>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</si>
  <si>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</si>
  <si>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</si>
  <si>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</si>
  <si>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</si>
  <si>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</si>
  <si>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</si>
  <si>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</si>
  <si>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</si>
  <si>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</si>
  <si>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</si>
  <si>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</si>
  <si>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</si>
  <si>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</si>
  <si>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</si>
  <si>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</si>
  <si>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</si>
  <si>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</si>
  <si>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</si>
  <si>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</si>
  <si>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</si>
  <si>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</si>
  <si>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</si>
  <si>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</si>
  <si>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</si>
  <si>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</si>
  <si>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</si>
  <si>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</si>
  <si>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</si>
  <si>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</si>
  <si>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</si>
  <si>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</si>
  <si>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</si>
  <si>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</si>
  <si>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</si>
  <si>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</si>
  <si>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</si>
  <si>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</si>
  <si>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</si>
  <si>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</si>
  <si>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</si>
  <si>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</si>
  <si>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</si>
  <si>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</si>
  <si>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</si>
  <si>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</si>
  <si>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</si>
  <si>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</si>
  <si>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</si>
  <si>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</si>
  <si>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</si>
  <si>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</si>
  <si>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</si>
  <si>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</si>
  <si>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</si>
  <si>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</si>
  <si>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</si>
  <si>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</si>
  <si>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</si>
  <si>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</si>
  <si>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</si>
  <si>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</si>
  <si>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</si>
  <si>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</si>
  <si>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</si>
  <si>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</si>
  <si>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</si>
  <si>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</si>
  <si>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</si>
  <si>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</si>
  <si>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</si>
  <si>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</si>
  <si>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</si>
  <si>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</si>
  <si>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</si>
  <si>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</si>
  <si>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</si>
  <si>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</si>
  <si>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</si>
  <si>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</si>
  <si>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</si>
  <si>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</si>
  <si>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</si>
  <si>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</si>
  <si>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</si>
  <si>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</si>
  <si>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</si>
  <si>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</si>
  <si>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</si>
  <si>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</si>
  <si>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</si>
  <si>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</si>
  <si>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</si>
  <si>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</si>
  <si>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</si>
  <si>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</si>
  <si>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</si>
  <si>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</si>
  <si>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</si>
  <si>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</si>
  <si>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</si>
  <si>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</si>
  <si>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</si>
  <si>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</si>
  <si>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</si>
  <si>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</si>
  <si>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</si>
  <si>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</si>
  <si>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</si>
  <si>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</si>
  <si>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</si>
  <si>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</si>
  <si>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</si>
  <si>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</si>
  <si>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</si>
  <si>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</si>
  <si>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</si>
  <si>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</si>
  <si>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</si>
  <si>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</si>
  <si>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</si>
  <si>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</si>
  <si>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</si>
  <si>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</si>
  <si>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</si>
  <si>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</si>
  <si>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</si>
  <si>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</si>
  <si>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</si>
  <si>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</si>
  <si>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</si>
  <si>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</si>
  <si>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</si>
  <si>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</si>
  <si>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</si>
  <si>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</si>
  <si>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</si>
  <si>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</si>
  <si>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</si>
  <si>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</si>
  <si>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</si>
  <si>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</si>
  <si>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</si>
  <si>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</si>
  <si>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</si>
  <si>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</si>
  <si>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</si>
  <si>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</si>
  <si>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</si>
  <si>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</si>
  <si>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</si>
  <si>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</si>
  <si>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</si>
  <si>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</si>
  <si>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</si>
  <si>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</si>
  <si>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</si>
  <si>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</si>
  <si>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</si>
  <si>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</si>
  <si>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</si>
  <si>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</si>
  <si>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</si>
  <si>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</si>
  <si>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</si>
  <si>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</si>
  <si>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</si>
  <si>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</si>
  <si>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</si>
  <si>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</si>
  <si>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</si>
  <si>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</si>
  <si>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</si>
  <si>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</si>
  <si>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</si>
  <si>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</si>
  <si>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</si>
  <si>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</si>
  <si>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</si>
  <si>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</si>
  <si>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</si>
  <si>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</si>
  <si>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</si>
  <si>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</si>
  <si>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</si>
  <si>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</si>
  <si>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</si>
  <si>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</si>
  <si>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</si>
  <si>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</si>
  <si>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</si>
  <si>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</si>
  <si>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</si>
  <si>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</si>
  <si>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</si>
  <si>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</si>
  <si>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</si>
  <si>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</si>
  <si>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</si>
  <si>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</si>
  <si>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</si>
  <si>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</si>
  <si>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</si>
  <si>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</si>
  <si>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</si>
  <si>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</si>
  <si>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</si>
  <si>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</si>
  <si>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</si>
  <si>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</si>
  <si>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</si>
  <si>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</si>
  <si>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</si>
  <si>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</si>
  <si>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</si>
  <si>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</si>
  <si>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</si>
  <si>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</si>
  <si>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</si>
  <si>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</si>
  <si>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</si>
  <si>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</si>
  <si>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</si>
  <si>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</si>
  <si>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</si>
  <si>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</si>
  <si>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</si>
  <si>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</si>
  <si>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</si>
  <si>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</si>
  <si>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</si>
  <si>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</si>
  <si>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</si>
  <si>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</si>
  <si>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</si>
  <si>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</si>
  <si>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</si>
  <si>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</si>
  <si>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</si>
  <si>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</si>
  <si>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</si>
  <si>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</si>
  <si>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</si>
  <si>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</si>
  <si>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</si>
  <si>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</si>
  <si>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</si>
  <si>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</si>
  <si>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</si>
  <si>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</si>
  <si>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</si>
  <si>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</si>
  <si>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</si>
  <si>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</si>
  <si>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</si>
  <si>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</si>
  <si>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</si>
  <si>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</si>
  <si>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</si>
  <si>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</si>
  <si>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</si>
  <si>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</si>
  <si>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</si>
  <si>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</si>
  <si>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</si>
  <si>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</si>
  <si>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</si>
  <si>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</si>
  <si>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</si>
  <si>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</si>
  <si>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</si>
  <si>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</si>
  <si>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</si>
  <si>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</si>
  <si>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</si>
  <si>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</si>
  <si>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</si>
  <si>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</si>
  <si>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</si>
  <si>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</si>
  <si>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</si>
  <si>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</si>
  <si>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</si>
  <si>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</si>
  <si>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</si>
  <si>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</si>
  <si>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</si>
  <si>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</si>
  <si>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</si>
  <si>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</si>
  <si>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</si>
  <si>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</si>
  <si>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</si>
  <si>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</si>
  <si>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</si>
  <si>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</si>
  <si>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</si>
  <si>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</si>
  <si>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</si>
  <si>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</si>
  <si>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</si>
  <si>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</si>
  <si>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</si>
  <si>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</si>
  <si>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</si>
  <si>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</si>
  <si>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</si>
  <si>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</si>
  <si>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</si>
  <si>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</si>
  <si>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</si>
  <si>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</si>
  <si>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</si>
  <si>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</si>
  <si>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</si>
  <si>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</si>
  <si>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</si>
  <si>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</si>
  <si>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</si>
  <si>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</si>
  <si>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</si>
  <si>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</si>
  <si>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</si>
  <si>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</si>
  <si>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</si>
  <si>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</si>
  <si>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</si>
  <si>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</si>
  <si>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</si>
  <si>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</si>
  <si>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</si>
  <si>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</si>
  <si>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</si>
  <si>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</si>
  <si>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</si>
  <si>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</si>
  <si>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</si>
  <si>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</si>
  <si>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</si>
  <si>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</si>
  <si>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</si>
  <si>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</si>
  <si>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</si>
  <si>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</si>
  <si>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</si>
  <si>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</si>
  <si>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</si>
  <si>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</si>
  <si>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</si>
  <si>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</si>
  <si>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</si>
  <si>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</si>
  <si>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</si>
  <si>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</si>
  <si>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</si>
  <si>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</si>
  <si>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</si>
  <si>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</si>
  <si>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</si>
  <si>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</si>
  <si>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</si>
  <si>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</si>
  <si>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</si>
  <si>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</si>
  <si>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</si>
  <si>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</si>
  <si>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</si>
  <si>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</si>
  <si>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</si>
  <si>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</si>
  <si>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</si>
  <si>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</si>
  <si>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</si>
  <si>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</si>
  <si>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</si>
  <si>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</si>
  <si>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</si>
  <si>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</si>
  <si>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</si>
  <si>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</si>
  <si>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</si>
  <si>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</si>
  <si>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</si>
  <si>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</si>
  <si>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</si>
  <si>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</si>
  <si>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</si>
  <si>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</si>
  <si>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</si>
  <si>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</si>
  <si>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</si>
  <si>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</si>
  <si>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</si>
  <si>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</si>
  <si>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</si>
  <si>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</si>
  <si>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</si>
  <si>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</si>
  <si>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</si>
  <si>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</si>
  <si>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</si>
  <si>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</si>
  <si>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</si>
  <si>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</si>
  <si>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</si>
  <si>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</si>
  <si>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</si>
  <si>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</si>
  <si>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</si>
  <si>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</si>
  <si>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</si>
  <si>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</si>
  <si>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</si>
  <si>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</si>
  <si>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</si>
  <si>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</si>
  <si>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</si>
  <si>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</si>
  <si>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</si>
  <si>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</si>
  <si>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</si>
  <si>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</si>
  <si>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</si>
  <si>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</si>
  <si>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</si>
  <si>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</si>
  <si>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</si>
  <si>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</si>
  <si>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</si>
  <si>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</si>
  <si>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</si>
  <si>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</si>
  <si>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</si>
  <si>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</si>
  <si>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</si>
  <si>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</si>
  <si>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</si>
  <si>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</si>
  <si>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</si>
  <si>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</si>
  <si>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</si>
  <si>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</si>
  <si>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</si>
  <si>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</si>
  <si>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</si>
  <si>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</si>
  <si>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</si>
  <si>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</si>
  <si>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</si>
  <si>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</si>
  <si>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</si>
  <si>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</si>
  <si>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</si>
  <si>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</si>
  <si>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</si>
  <si>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</si>
  <si>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</si>
  <si>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</si>
  <si>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</si>
  <si>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</si>
  <si>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</si>
  <si>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</si>
  <si>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</si>
  <si>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</si>
  <si>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</si>
  <si>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</si>
  <si>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</si>
  <si>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</si>
  <si>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</si>
  <si>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</si>
  <si>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</si>
  <si>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</si>
  <si>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</si>
  <si>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</si>
  <si>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</si>
  <si>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</si>
  <si>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</si>
  <si>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</si>
  <si>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</si>
  <si>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</si>
  <si>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</si>
  <si>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</si>
  <si>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</si>
  <si>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</si>
  <si>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</si>
  <si>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</si>
  <si>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</si>
  <si>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</si>
  <si>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</si>
  <si>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</si>
  <si>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</si>
  <si>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</si>
  <si>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</si>
  <si>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</si>
  <si>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</si>
  <si>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</si>
  <si>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</si>
  <si>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</si>
  <si>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</si>
  <si>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</si>
  <si>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</si>
  <si>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</si>
  <si>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</si>
  <si>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</si>
  <si>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</si>
  <si>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</si>
  <si>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</si>
  <si>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</si>
  <si>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</si>
  <si>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</si>
  <si>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</si>
  <si>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</si>
  <si>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</si>
  <si>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</si>
  <si>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</si>
  <si>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</si>
  <si>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</si>
  <si>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</si>
  <si>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</si>
  <si>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</si>
  <si>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</si>
  <si>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</si>
  <si>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</si>
  <si>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</si>
  <si>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</si>
  <si>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</si>
  <si>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</si>
  <si>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</si>
  <si>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</si>
  <si>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</si>
  <si>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</si>
  <si>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</si>
  <si>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</si>
  <si>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</si>
  <si>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</si>
  <si>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</si>
  <si>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</si>
  <si>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</si>
  <si>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</si>
  <si>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</si>
  <si>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</si>
  <si>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</si>
  <si>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</si>
  <si>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</si>
  <si>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</si>
  <si>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</si>
  <si>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</si>
  <si>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</si>
  <si>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</si>
  <si>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</si>
  <si>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</si>
  <si>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</si>
  <si>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</si>
  <si>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</si>
  <si>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</si>
  <si>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</si>
  <si>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</si>
  <si>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</si>
  <si>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</si>
  <si>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</si>
  <si>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</si>
  <si>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</si>
  <si>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</si>
  <si>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</si>
  <si>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</si>
  <si>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</si>
  <si>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</si>
  <si>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</si>
  <si>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</si>
  <si>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</si>
  <si>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</si>
  <si>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</si>
  <si>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</si>
  <si>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</si>
  <si>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</si>
  <si>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</si>
  <si>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</si>
  <si>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</si>
  <si>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</si>
  <si>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</si>
  <si>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</si>
  <si>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</si>
  <si>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</si>
  <si>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</si>
  <si>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</si>
  <si>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</si>
  <si>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</si>
  <si>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</si>
  <si>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</si>
  <si>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</si>
  <si>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</si>
  <si>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</si>
  <si>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</si>
  <si>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</si>
  <si>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</si>
  <si>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</si>
  <si>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</si>
  <si>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</si>
  <si>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</si>
  <si>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</si>
  <si>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</si>
  <si>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</si>
  <si>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</si>
  <si>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</si>
  <si>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</si>
  <si>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</si>
  <si>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</si>
  <si>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</si>
  <si>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</si>
  <si>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</si>
  <si>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</si>
  <si>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</si>
  <si>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</si>
  <si>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</si>
  <si>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</si>
  <si>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</si>
  <si>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</si>
  <si>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</si>
  <si>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</si>
  <si>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</si>
  <si>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</si>
  <si>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</si>
  <si>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</si>
  <si>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</si>
  <si>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</si>
  <si>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</si>
  <si>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</si>
  <si>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</si>
  <si>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</si>
  <si>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</si>
  <si>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</si>
  <si>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</si>
  <si>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</si>
  <si>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</si>
  <si>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</si>
  <si>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</si>
  <si>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</si>
  <si>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</si>
  <si>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</si>
  <si>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</si>
  <si>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</si>
  <si>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</si>
  <si>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</si>
  <si>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</si>
  <si>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</si>
  <si>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</si>
  <si>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</si>
  <si>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</si>
  <si>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</si>
  <si>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</si>
  <si>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</si>
  <si>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</si>
  <si>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</si>
  <si>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</si>
  <si>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</si>
  <si>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</si>
  <si>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</si>
  <si>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</si>
  <si>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</si>
  <si>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</si>
  <si>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</si>
  <si>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</si>
  <si>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</si>
  <si>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</si>
  <si>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</si>
  <si>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</si>
  <si>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</si>
  <si>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</si>
  <si>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</si>
  <si>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</si>
  <si>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</si>
  <si>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</si>
  <si>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</si>
  <si>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</si>
  <si>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</si>
  <si>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</si>
  <si>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</si>
  <si>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</si>
  <si>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</si>
  <si>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</si>
  <si>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</si>
  <si>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</si>
  <si>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</si>
  <si>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</si>
  <si>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</si>
  <si>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</si>
  <si>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</si>
  <si>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</si>
  <si>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</si>
  <si>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</si>
  <si>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</si>
  <si>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</si>
  <si>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</si>
  <si>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</si>
  <si>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</si>
  <si>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</si>
  <si>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</si>
  <si>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</si>
  <si>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</si>
  <si>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</si>
  <si>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</si>
  <si>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</si>
  <si>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</si>
  <si>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</si>
  <si>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</si>
  <si>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</si>
  <si>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</si>
  <si>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</si>
  <si>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</si>
  <si>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</si>
  <si>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</si>
  <si>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</si>
  <si>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</si>
  <si>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</si>
  <si>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</si>
  <si>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</si>
  <si>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</si>
  <si>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</si>
  <si>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</si>
  <si>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</si>
  <si>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</si>
  <si>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</si>
  <si>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</si>
  <si>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</si>
  <si>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</si>
  <si>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</si>
  <si>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</si>
  <si>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</si>
  <si>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</si>
  <si>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</si>
  <si>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</si>
  <si>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</si>
  <si>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</si>
  <si>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</si>
  <si>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</si>
  <si>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</si>
  <si>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</si>
  <si>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</si>
  <si>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</si>
  <si>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</si>
  <si>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</si>
  <si>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</si>
  <si>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</si>
  <si>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</si>
  <si>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</si>
  <si>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</si>
  <si>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</si>
  <si>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</si>
  <si>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</si>
  <si>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</si>
  <si>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</si>
  <si>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</si>
  <si>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</si>
  <si>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</si>
  <si>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</si>
  <si>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</si>
  <si>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</si>
  <si>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</si>
  <si>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</si>
  <si>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</si>
  <si>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</si>
  <si>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</si>
  <si>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</si>
  <si>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</si>
  <si>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</si>
  <si>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</si>
  <si>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</si>
  <si>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</si>
  <si>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</si>
  <si>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</si>
  <si>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</si>
  <si>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</si>
  <si>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</si>
  <si>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</si>
  <si>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</si>
  <si>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</si>
  <si>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</si>
  <si>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</si>
  <si>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</si>
  <si>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</si>
  <si>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</si>
  <si>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</si>
  <si>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</si>
  <si>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</si>
  <si>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</si>
  <si>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</si>
  <si>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</si>
  <si>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</si>
  <si>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</si>
  <si>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</si>
  <si>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</si>
  <si>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</si>
  <si>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</si>
  <si>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</si>
  <si>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</si>
  <si>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</si>
  <si>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</si>
  <si>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</si>
  <si>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</si>
  <si>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</si>
  <si>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</si>
  <si>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</si>
  <si>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</si>
  <si>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</si>
  <si>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</si>
  <si>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</si>
  <si>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</si>
  <si>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</si>
  <si>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</si>
  <si>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</si>
  <si>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</si>
  <si>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</si>
  <si>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</si>
  <si>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</si>
  <si>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</si>
  <si>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</si>
  <si>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</si>
  <si>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</si>
  <si>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</si>
  <si>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</si>
  <si>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</si>
  <si>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</si>
  <si>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</si>
  <si>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</si>
  <si>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</si>
  <si>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</si>
  <si>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</si>
  <si>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</si>
  <si>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</si>
  <si>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</si>
  <si>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</si>
  <si>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</si>
  <si>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</si>
  <si>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</si>
  <si>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</si>
  <si>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</si>
  <si>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</si>
  <si>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</si>
  <si>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</si>
  <si>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</si>
  <si>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</si>
  <si>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</si>
  <si>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</si>
  <si>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</si>
  <si>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</si>
  <si>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</si>
  <si>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</si>
  <si>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</si>
  <si>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</si>
  <si>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</si>
  <si>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</si>
  <si>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</si>
  <si>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</si>
  <si>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</si>
  <si>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</si>
  <si>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</si>
  <si>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</si>
  <si>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</si>
  <si>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</si>
  <si>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</si>
  <si>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</si>
  <si>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</si>
  <si>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</si>
  <si>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</si>
  <si>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</si>
  <si>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</si>
  <si>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</si>
  <si>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</si>
  <si>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</si>
  <si>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</si>
  <si>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</si>
  <si>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</si>
  <si>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</si>
  <si>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</si>
  <si>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</si>
  <si>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</si>
  <si>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</si>
  <si>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</si>
  <si>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</si>
  <si>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</si>
  <si>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</si>
  <si>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</si>
  <si>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</si>
  <si>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</si>
  <si>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</si>
  <si>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</si>
  <si>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</si>
  <si>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</si>
  <si>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</si>
  <si>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</si>
  <si>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</si>
  <si>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</si>
  <si>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</si>
  <si>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</si>
  <si>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</si>
  <si>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</si>
  <si>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</si>
  <si>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</si>
  <si>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</si>
  <si>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</si>
  <si>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</si>
  <si>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</si>
  <si>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</si>
  <si>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</si>
  <si>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</si>
  <si>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</si>
  <si>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</si>
  <si>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</si>
  <si>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</si>
  <si>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</si>
  <si>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</si>
  <si>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</si>
  <si>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</si>
  <si>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</si>
  <si>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</si>
  <si>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</si>
  <si>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</si>
  <si>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</si>
  <si>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</si>
  <si>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</si>
  <si>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</si>
  <si>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</si>
  <si>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</si>
  <si>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</si>
  <si>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</si>
  <si>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</si>
  <si>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</si>
  <si>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</si>
  <si>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</si>
  <si>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</si>
  <si>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</si>
  <si>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</si>
  <si>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</si>
  <si>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</si>
  <si>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</si>
  <si>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</si>
  <si>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</si>
  <si>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</si>
  <si>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</si>
  <si>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</si>
  <si>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</si>
  <si>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</si>
  <si>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</si>
  <si>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</si>
  <si>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</si>
  <si>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</si>
  <si>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</si>
  <si>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</si>
  <si>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</si>
  <si>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</si>
  <si>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</si>
  <si>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</si>
  <si>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</si>
  <si>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</si>
  <si>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</si>
  <si>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</si>
  <si>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</si>
  <si>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</si>
  <si>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</si>
  <si>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</si>
  <si>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</si>
  <si>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</si>
  <si>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</si>
  <si>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</si>
  <si>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</si>
  <si>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</si>
  <si>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</si>
  <si>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</si>
  <si>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</si>
  <si>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</si>
  <si>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</si>
  <si>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</si>
  <si>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</si>
  <si>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</si>
  <si>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</si>
  <si>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</si>
  <si>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</si>
  <si>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</si>
  <si>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</si>
  <si>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</si>
  <si>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</si>
  <si>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</si>
  <si>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</si>
  <si>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</si>
  <si>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</si>
  <si>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</si>
  <si>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</si>
  <si>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</si>
  <si>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</si>
  <si>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</si>
  <si>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</si>
  <si>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</si>
  <si>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</si>
  <si>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</si>
  <si>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</si>
  <si>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</si>
  <si>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</si>
  <si>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</si>
  <si>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</si>
  <si>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</si>
  <si>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</si>
  <si>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</si>
  <si>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</si>
  <si>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</si>
  <si>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</si>
  <si>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</si>
  <si>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</si>
  <si>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</si>
  <si>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</si>
  <si>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</si>
  <si>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</si>
  <si>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</si>
  <si>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</si>
  <si>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</si>
  <si>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</si>
  <si>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</si>
  <si>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</si>
  <si>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</si>
  <si>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</si>
  <si>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</si>
  <si>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</si>
  <si>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</si>
  <si>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</si>
  <si>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</si>
  <si>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</si>
  <si>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</si>
  <si>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</si>
  <si>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</si>
  <si>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</si>
  <si>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</si>
  <si>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</si>
  <si>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</si>
  <si>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</si>
  <si>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</si>
  <si>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</si>
  <si>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</si>
  <si>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</si>
  <si>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</si>
  <si>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</si>
  <si>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</si>
  <si>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</si>
  <si>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</si>
  <si>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</si>
  <si>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</si>
  <si>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</si>
  <si>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</si>
  <si>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</si>
  <si>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</si>
  <si>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</si>
  <si>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</si>
  <si>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</si>
  <si>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</si>
  <si>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</si>
  <si>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</si>
  <si>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</si>
  <si>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</si>
  <si>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</si>
  <si>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</si>
  <si>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</si>
  <si>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</si>
  <si>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</si>
  <si>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</si>
  <si>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</si>
  <si>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</si>
  <si>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</si>
  <si>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</si>
  <si>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</si>
  <si>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</si>
  <si>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</si>
  <si>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</si>
  <si>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</si>
  <si>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</si>
  <si>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</si>
  <si>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</si>
  <si>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</si>
  <si>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</si>
  <si>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</si>
  <si>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</si>
  <si>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</si>
  <si>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</si>
  <si>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</si>
  <si>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</si>
  <si>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</si>
  <si>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</si>
  <si>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</si>
  <si>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</si>
  <si>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</si>
  <si>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</si>
  <si>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</si>
  <si>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</si>
  <si>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</si>
  <si>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</si>
  <si>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</si>
  <si>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</si>
  <si>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</si>
  <si>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</si>
  <si>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</si>
  <si>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</si>
  <si>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</si>
  <si>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</si>
  <si>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</si>
  <si>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</si>
  <si>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</si>
  <si>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</si>
  <si>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</si>
  <si>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</si>
  <si>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</si>
  <si>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</si>
  <si>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</si>
  <si>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</si>
  <si>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</si>
  <si>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</si>
  <si>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</si>
  <si>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</si>
  <si>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</si>
  <si>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</si>
  <si>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</si>
  <si>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</si>
  <si>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</si>
  <si>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</si>
  <si>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</si>
  <si>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</si>
  <si>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</si>
  <si>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</si>
  <si>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</si>
  <si>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</si>
  <si>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</si>
  <si>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</si>
  <si>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</si>
  <si>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</si>
  <si>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</si>
  <si>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</si>
  <si>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</si>
  <si>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</si>
  <si>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</si>
  <si>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</si>
  <si>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</si>
  <si>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</si>
  <si>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</si>
  <si>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</si>
  <si>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</si>
  <si>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</si>
  <si>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</si>
  <si>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</si>
  <si>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</si>
  <si>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</si>
  <si>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</si>
  <si>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</si>
  <si>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</si>
  <si>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</si>
  <si>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</si>
  <si>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</si>
  <si>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</si>
  <si>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</si>
  <si>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</si>
  <si>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</si>
  <si>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</si>
  <si>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</si>
  <si>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</si>
  <si>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</si>
  <si>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</si>
  <si>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</si>
  <si>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</si>
  <si>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</si>
  <si>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</si>
  <si>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</si>
  <si>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</si>
  <si>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</si>
  <si>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</si>
  <si>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</si>
  <si>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</si>
  <si>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</si>
  <si>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</si>
  <si>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</si>
  <si>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</si>
  <si>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</si>
  <si>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</si>
  <si>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</si>
  <si>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</si>
  <si>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</si>
  <si>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</si>
  <si>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</si>
  <si>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</si>
  <si>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</si>
  <si>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</si>
  <si>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</si>
  <si>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</si>
  <si>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</si>
  <si>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</si>
  <si>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</si>
  <si>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</si>
  <si>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</si>
  <si>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</si>
  <si>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</si>
  <si>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</si>
  <si>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</si>
  <si>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</si>
  <si>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</si>
  <si>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</si>
  <si>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</si>
  <si>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</si>
  <si>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</si>
  <si>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</si>
  <si>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</si>
  <si>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</si>
  <si>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</si>
  <si>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</si>
  <si>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</si>
  <si>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</si>
  <si>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</si>
  <si>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</si>
  <si>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</si>
  <si>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</si>
  <si>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</si>
  <si>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</si>
  <si>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</si>
  <si>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</si>
  <si>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</si>
  <si>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</si>
  <si>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</si>
  <si>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</si>
  <si>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</si>
  <si>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</si>
  <si>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</si>
  <si>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</si>
  <si>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</si>
  <si>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</si>
  <si>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</si>
  <si>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</si>
  <si>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</si>
  <si>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</si>
  <si>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</si>
  <si>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</si>
  <si>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</si>
  <si>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</si>
  <si>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</si>
  <si>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</si>
  <si>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</si>
  <si>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</si>
  <si>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</si>
  <si>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</si>
  <si>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</si>
  <si>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</si>
  <si>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</si>
  <si>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</si>
  <si>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</si>
  <si>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</si>
  <si>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</si>
  <si>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</si>
  <si>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</si>
  <si>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</si>
  <si>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</si>
  <si>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</si>
  <si>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</si>
  <si>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</si>
  <si>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</si>
  <si>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</si>
  <si>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</si>
  <si>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</si>
  <si>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</si>
  <si>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</si>
  <si>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</si>
  <si>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</si>
  <si>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</si>
  <si>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</si>
  <si>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</si>
  <si>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</si>
  <si>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</si>
  <si>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</si>
  <si>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</si>
  <si>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</si>
  <si>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</si>
  <si>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</si>
  <si>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</si>
  <si>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</si>
  <si>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</si>
  <si>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</si>
  <si>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</si>
  <si>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</si>
  <si>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</si>
  <si>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</si>
  <si>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</si>
  <si>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</si>
  <si>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</si>
  <si>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</si>
  <si>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</si>
  <si>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</si>
  <si>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</si>
  <si>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</si>
  <si>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</si>
  <si>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</si>
  <si>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</si>
  <si>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</si>
  <si>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</si>
  <si>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</si>
  <si>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</si>
  <si>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</si>
  <si>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</si>
  <si>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</si>
  <si>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</si>
  <si>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</si>
  <si>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</si>
  <si>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</si>
  <si>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</si>
  <si>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</si>
  <si>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</si>
  <si>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</si>
  <si>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</si>
  <si>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</si>
  <si>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</si>
  <si>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</si>
  <si>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</si>
  <si>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</si>
  <si>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</si>
  <si>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</si>
  <si>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</si>
  <si>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</si>
  <si>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</si>
  <si>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</si>
  <si>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</si>
  <si>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</si>
  <si>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</si>
  <si>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</si>
  <si>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</si>
  <si>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</si>
  <si>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</si>
  <si>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</si>
  <si>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</si>
  <si>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</si>
  <si>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</si>
  <si>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</si>
  <si>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</si>
  <si>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</si>
  <si>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</si>
  <si>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</si>
  <si>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</si>
  <si>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</si>
  <si>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</si>
  <si>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</si>
  <si>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</si>
  <si>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</si>
  <si>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</si>
  <si>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</si>
  <si>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</si>
  <si>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</si>
  <si>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</si>
  <si>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</si>
  <si>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</si>
  <si>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</si>
  <si>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</si>
  <si>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</si>
  <si>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</si>
  <si>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</si>
  <si>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</si>
  <si>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</si>
  <si>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</si>
  <si>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</si>
  <si>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</si>
  <si>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</si>
  <si>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</si>
  <si>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</si>
  <si>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</si>
  <si>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</si>
  <si>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</si>
  <si>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</si>
  <si>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</si>
  <si>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</si>
  <si>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</si>
  <si>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</si>
  <si>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</si>
  <si>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</si>
  <si>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</si>
  <si>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</si>
  <si>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</si>
  <si>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</si>
  <si>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</si>
  <si>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</si>
  <si>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</si>
  <si>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</si>
  <si>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</si>
  <si>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</si>
  <si>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</si>
  <si>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</si>
  <si>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</si>
  <si>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</si>
  <si>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</si>
  <si>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</si>
  <si>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</si>
  <si>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</si>
  <si>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</si>
  <si>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</si>
  <si>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</si>
  <si>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</si>
  <si>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</si>
  <si>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</si>
  <si>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</si>
  <si>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</si>
  <si>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</si>
  <si>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</si>
  <si>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</si>
  <si>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</si>
  <si>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</si>
  <si>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</si>
  <si>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</si>
  <si>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</si>
  <si>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</si>
  <si>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</si>
  <si>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</si>
  <si>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</si>
  <si>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</si>
  <si>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</si>
  <si>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</si>
  <si>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</si>
  <si>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</si>
  <si>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</si>
  <si>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</si>
  <si>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</si>
  <si>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</si>
  <si>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</si>
  <si>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</si>
  <si>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</si>
  <si>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</si>
  <si>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</si>
  <si>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</si>
  <si>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</si>
  <si>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</si>
  <si>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</si>
  <si>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</si>
  <si>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</si>
  <si>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</si>
  <si>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</si>
  <si>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</si>
  <si>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</si>
  <si>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</si>
  <si>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</si>
  <si>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</si>
  <si>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</si>
  <si>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</si>
  <si>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</si>
  <si>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</si>
  <si>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</si>
  <si>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</si>
  <si>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</si>
  <si>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</si>
  <si>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</si>
  <si>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</si>
  <si>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</si>
  <si>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</si>
  <si>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</si>
  <si>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</si>
  <si>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</si>
  <si>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</si>
  <si>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</si>
  <si>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</si>
  <si>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</si>
  <si>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</si>
  <si>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</si>
  <si>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</si>
  <si>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</si>
  <si>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</si>
  <si>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</si>
  <si>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</si>
  <si>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</si>
  <si>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</si>
  <si>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</si>
  <si>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</si>
  <si>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</si>
  <si>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</si>
  <si>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</si>
  <si>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</si>
  <si>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</si>
  <si>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</si>
  <si>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</si>
  <si>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</si>
  <si>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</si>
  <si>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</si>
  <si>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</si>
  <si>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</si>
  <si>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</si>
  <si>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</si>
  <si>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</si>
  <si>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</si>
  <si>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</si>
  <si>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</si>
  <si>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</si>
  <si>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</si>
  <si>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</si>
  <si>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</si>
  <si>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</si>
  <si>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</si>
  <si>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</si>
  <si>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</si>
  <si>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</si>
  <si>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</si>
  <si>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</si>
  <si>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</si>
  <si>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</si>
  <si>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</si>
  <si>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</si>
  <si>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</si>
  <si>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</si>
  <si>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</si>
  <si>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</si>
  <si>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</si>
  <si>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</si>
  <si>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</si>
  <si>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</si>
  <si>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</si>
  <si>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</si>
  <si>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</si>
  <si>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</si>
  <si>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</si>
  <si>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</si>
  <si>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</si>
  <si>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</si>
  <si>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</si>
  <si>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</si>
  <si>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</si>
  <si>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</si>
  <si>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</si>
  <si>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</si>
  <si>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</si>
  <si>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</si>
  <si>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</si>
  <si>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</si>
  <si>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</si>
  <si>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</si>
  <si>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</si>
  <si>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</si>
  <si>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</si>
  <si>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</si>
  <si>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</si>
  <si>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</si>
  <si>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</si>
  <si>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</si>
  <si>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</si>
  <si>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</si>
  <si>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</si>
  <si>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</si>
  <si>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</si>
  <si>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</si>
  <si>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</si>
  <si>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</si>
  <si>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</si>
  <si>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</si>
  <si>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</si>
  <si>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</si>
  <si>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</si>
  <si>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</si>
  <si>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</si>
  <si>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</si>
  <si>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</si>
  <si>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</si>
  <si>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</si>
  <si>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</si>
  <si>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</si>
  <si>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</si>
  <si>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</si>
  <si>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</si>
  <si>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</si>
  <si>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</si>
  <si>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</si>
  <si>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</si>
  <si>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</si>
  <si>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</si>
  <si>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</si>
  <si>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</si>
  <si>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</si>
  <si>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</si>
  <si>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</si>
  <si>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</si>
  <si>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</si>
  <si>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</si>
  <si>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</si>
  <si>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</si>
  <si>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</si>
  <si>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</si>
  <si>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</si>
  <si>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</si>
  <si>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</si>
  <si>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</si>
  <si>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</si>
  <si>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</si>
  <si>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</si>
  <si>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</si>
  <si>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</si>
  <si>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</si>
  <si>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</si>
  <si>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</si>
  <si>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</si>
  <si>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</si>
  <si>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</si>
  <si>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</si>
  <si>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</si>
  <si>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</si>
  <si>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</si>
  <si>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</si>
  <si>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</si>
  <si>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</si>
  <si>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</si>
  <si>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</si>
  <si>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</si>
  <si>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</si>
  <si>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</si>
  <si>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</si>
  <si>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</si>
  <si>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</si>
  <si>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</si>
  <si>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</si>
  <si>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</si>
  <si>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</si>
  <si>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</si>
  <si>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</si>
  <si>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</si>
  <si>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</si>
  <si>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</si>
  <si>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</si>
  <si>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</si>
  <si>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</si>
  <si>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</si>
  <si>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</si>
  <si>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</si>
  <si>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</si>
  <si>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</si>
  <si>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</si>
  <si>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</si>
  <si>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</si>
  <si>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</si>
  <si>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</si>
  <si>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</si>
  <si>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</si>
  <si>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</si>
  <si>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</si>
  <si>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</si>
  <si>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</si>
  <si>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</si>
  <si>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</si>
  <si>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</si>
  <si>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</si>
  <si>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</si>
  <si>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</si>
  <si>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</si>
  <si>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</si>
  <si>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</si>
  <si>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</si>
  <si>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</si>
  <si>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</si>
  <si>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</si>
  <si>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</si>
  <si>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</si>
  <si>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</si>
  <si>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</si>
  <si>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</si>
  <si>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</si>
  <si>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</si>
  <si>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</si>
  <si>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</si>
  <si>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</si>
  <si>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</si>
  <si>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</si>
  <si>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</si>
  <si>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</si>
  <si>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</si>
  <si>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</si>
  <si>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</si>
  <si>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</si>
  <si>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</si>
  <si>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</si>
  <si>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</si>
  <si>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</si>
  <si>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</si>
  <si>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</si>
  <si>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</si>
  <si>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</si>
  <si>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</si>
  <si>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</si>
  <si>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</si>
  <si>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</si>
  <si>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</si>
  <si>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</si>
  <si>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</si>
  <si>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</si>
  <si>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</si>
  <si>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</si>
  <si>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</si>
  <si>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</si>
  <si>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</si>
  <si>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</si>
  <si>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</si>
  <si>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</si>
  <si>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</si>
  <si>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</si>
  <si>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</si>
  <si>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</si>
  <si>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</si>
  <si>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</si>
  <si>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</si>
  <si>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</si>
  <si>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</si>
  <si>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</si>
  <si>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</si>
  <si>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</si>
  <si>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</si>
  <si>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</si>
  <si>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</si>
  <si>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</si>
  <si>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</si>
  <si>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</si>
  <si>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</si>
  <si>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</si>
  <si>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</si>
  <si>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</si>
  <si>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</si>
  <si>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</si>
  <si>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</si>
  <si>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</si>
  <si>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</si>
  <si>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</si>
  <si>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</si>
  <si>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</si>
  <si>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</si>
  <si>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</si>
  <si>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</si>
  <si>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</si>
  <si>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</si>
  <si>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</si>
  <si>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</si>
  <si>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</si>
  <si>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</si>
  <si>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</si>
  <si>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</si>
  <si>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</si>
  <si>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</si>
  <si>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</si>
  <si>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</si>
  <si>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</si>
  <si>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</si>
  <si>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</si>
  <si>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</si>
  <si>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</si>
  <si>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</si>
  <si>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</si>
  <si>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</si>
  <si>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</si>
  <si>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</si>
  <si>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</si>
  <si>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</si>
  <si>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</si>
  <si>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</si>
  <si>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</si>
  <si>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</si>
  <si>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</si>
  <si>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</si>
  <si>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</si>
  <si>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</si>
  <si>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</si>
  <si>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</si>
  <si>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</si>
  <si>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</si>
  <si>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</si>
  <si>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</si>
  <si>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</si>
  <si>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</si>
  <si>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</si>
  <si>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</si>
  <si>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</si>
  <si>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</si>
  <si>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</si>
  <si>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</si>
  <si>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</si>
  <si>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</si>
  <si>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</si>
  <si>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</si>
  <si>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</si>
  <si>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</si>
  <si>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</si>
  <si>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</si>
  <si>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</si>
  <si>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</si>
  <si>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</si>
  <si>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</si>
  <si>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</si>
  <si>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</si>
  <si>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</si>
  <si>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</si>
  <si>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</si>
  <si>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</si>
  <si>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</si>
  <si>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</si>
  <si>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</si>
  <si>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</si>
  <si>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</si>
  <si>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</si>
  <si>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</si>
  <si>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</si>
  <si>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</si>
  <si>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</si>
  <si>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</si>
  <si>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</si>
  <si>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</si>
  <si>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</si>
  <si>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</si>
  <si>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</si>
  <si>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</si>
  <si>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</si>
  <si>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</si>
  <si>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</si>
  <si>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</si>
  <si>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</si>
  <si>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</si>
  <si>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</si>
  <si>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</si>
  <si>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</si>
  <si>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</si>
  <si>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</si>
  <si>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</si>
  <si>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</si>
  <si>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</si>
  <si>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</si>
  <si>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</si>
  <si>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</si>
  <si>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</si>
  <si>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</si>
  <si>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</si>
  <si>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</si>
  <si>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</si>
  <si>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</si>
  <si>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</si>
  <si>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</si>
  <si>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</si>
  <si>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</si>
  <si>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</si>
  <si>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</si>
  <si>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</si>
  <si>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</si>
  <si>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</si>
  <si>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</si>
  <si>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</si>
  <si>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</si>
  <si>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</si>
  <si>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</si>
  <si>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</si>
  <si>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</si>
  <si>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</si>
  <si>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</si>
  <si>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</si>
  <si>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</si>
  <si>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</si>
  <si>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</si>
  <si>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</si>
  <si>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</si>
  <si>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</si>
  <si>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</si>
  <si>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</si>
  <si>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</si>
  <si>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</si>
  <si>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</si>
  <si>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</si>
  <si>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</si>
  <si>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</si>
  <si>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</si>
  <si>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</si>
  <si>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</si>
  <si>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</si>
  <si>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</si>
  <si>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</si>
  <si>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</si>
  <si>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</si>
  <si>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</si>
  <si>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</si>
  <si>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</si>
  <si>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</si>
  <si>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</si>
  <si>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</si>
  <si>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</si>
  <si>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</si>
  <si>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</si>
  <si>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</si>
  <si>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</si>
  <si>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</si>
  <si>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</si>
  <si>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</si>
  <si>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</si>
  <si>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</si>
  <si>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</si>
  <si>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</si>
  <si>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</si>
  <si>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</si>
  <si>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</si>
  <si>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</si>
  <si>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</si>
  <si>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</si>
  <si>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</si>
  <si>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</si>
  <si>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</si>
  <si>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</si>
  <si>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</si>
  <si>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</si>
  <si>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</si>
  <si>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</si>
  <si>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</si>
  <si>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</si>
  <si>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</si>
  <si>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</si>
  <si>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</si>
  <si>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</si>
  <si>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</si>
  <si>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</si>
  <si>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</si>
  <si>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</si>
  <si>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</si>
  <si>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</si>
  <si>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</si>
  <si>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</si>
  <si>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</si>
  <si>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</si>
  <si>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</si>
  <si>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</si>
  <si>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</si>
  <si>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</si>
  <si>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</si>
  <si>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</si>
  <si>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</si>
  <si>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</si>
  <si>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</si>
  <si>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</si>
  <si>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</si>
  <si>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</si>
  <si>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</si>
  <si>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</si>
  <si>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</si>
  <si>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</si>
  <si>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</si>
  <si>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</si>
  <si>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</si>
  <si>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</si>
  <si>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</si>
  <si>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</si>
  <si>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</si>
  <si>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</si>
  <si>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</si>
  <si>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</si>
  <si>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</si>
  <si>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</si>
  <si>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</si>
  <si>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</si>
  <si>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</si>
  <si>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</si>
  <si>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</si>
  <si>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</si>
  <si>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</si>
  <si>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</si>
  <si>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</si>
  <si>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</si>
  <si>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</si>
  <si>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</si>
  <si>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</si>
  <si>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</si>
  <si>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</si>
  <si>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</si>
  <si>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</si>
  <si>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</si>
  <si>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</si>
  <si>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</si>
  <si>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</si>
  <si>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</si>
  <si>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</si>
  <si>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</si>
  <si>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</si>
  <si>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</si>
  <si>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</si>
  <si>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</si>
  <si>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</si>
  <si>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</si>
  <si>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</si>
  <si>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</si>
  <si>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</si>
  <si>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</si>
  <si>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</si>
  <si>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</si>
  <si>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</si>
  <si>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</si>
  <si>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</si>
  <si>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</si>
  <si>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</si>
  <si>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</si>
  <si>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</si>
  <si>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</si>
  <si>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</si>
  <si>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</si>
  <si>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</si>
  <si>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</si>
  <si>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</si>
  <si>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</si>
  <si>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</si>
  <si>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</si>
  <si>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</si>
  <si>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</si>
  <si>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</si>
  <si>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</si>
  <si>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</si>
  <si>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</si>
  <si>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</si>
  <si>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</si>
  <si>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</si>
  <si>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</si>
  <si>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</si>
  <si>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</si>
  <si>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</si>
  <si>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</si>
  <si>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</si>
  <si>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</si>
  <si>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</si>
  <si>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</si>
  <si>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</si>
  <si>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</si>
  <si>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</si>
  <si>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</si>
  <si>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</si>
  <si>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</si>
  <si>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</si>
  <si>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</si>
  <si>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</si>
  <si>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</si>
  <si>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</si>
  <si>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</si>
  <si>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</si>
  <si>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</si>
  <si>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</si>
  <si>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</si>
  <si>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</si>
  <si>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</si>
  <si>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</si>
  <si>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</si>
  <si>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</si>
  <si>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</si>
  <si>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</si>
  <si>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</si>
  <si>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</si>
  <si>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</si>
  <si>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</si>
  <si>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</si>
  <si>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</si>
  <si>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</si>
  <si>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</si>
  <si>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</si>
  <si>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</si>
  <si>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</si>
  <si>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</si>
  <si>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</si>
  <si>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</si>
  <si>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</si>
  <si>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</si>
  <si>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</si>
  <si>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</si>
  <si>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</si>
  <si>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</si>
  <si>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</si>
  <si>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</si>
  <si>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</si>
  <si>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</si>
  <si>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</si>
  <si>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</si>
  <si>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</si>
  <si>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</si>
  <si>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</si>
  <si>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</si>
  <si>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</si>
  <si>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</si>
  <si>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</si>
  <si>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</si>
  <si>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</si>
  <si>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</si>
  <si>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</si>
  <si>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</si>
  <si>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</si>
  <si>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</si>
  <si>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</si>
  <si>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</si>
  <si>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</si>
  <si>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</si>
  <si>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</si>
  <si>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</si>
  <si>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</si>
  <si>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</si>
  <si>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</si>
  <si>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</si>
  <si>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</si>
  <si>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</si>
  <si>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</si>
  <si>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</si>
  <si>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</si>
  <si>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</si>
  <si>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</si>
  <si>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</si>
  <si>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</si>
  <si>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</si>
  <si>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</si>
  <si>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</si>
  <si>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</si>
  <si>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</si>
  <si>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</si>
  <si>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</si>
  <si>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</si>
  <si>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</si>
  <si>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</si>
  <si>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</si>
  <si>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</si>
  <si>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</si>
  <si>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</si>
  <si>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</si>
  <si>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</si>
  <si>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</si>
  <si>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</si>
  <si>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</si>
  <si>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</si>
  <si>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</si>
  <si>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</si>
  <si>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</si>
  <si>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</si>
  <si>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</si>
  <si>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</si>
  <si>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</si>
  <si>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</si>
  <si>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</si>
  <si>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</si>
  <si>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</si>
  <si>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</si>
  <si>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</si>
  <si>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</si>
  <si>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</si>
  <si>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</si>
  <si>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</si>
  <si>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</si>
  <si>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</si>
  <si>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</si>
  <si>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</si>
  <si>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</si>
  <si>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</si>
  <si>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</si>
  <si>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</si>
  <si>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</si>
  <si>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</si>
  <si>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</si>
  <si>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</si>
  <si>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</si>
  <si>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</si>
  <si>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</si>
  <si>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</si>
  <si>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</si>
  <si>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</si>
  <si>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</si>
  <si>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</si>
  <si>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</si>
  <si>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</si>
  <si>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</si>
  <si>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</si>
  <si>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</si>
  <si>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</si>
  <si>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</si>
  <si>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</si>
  <si>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</si>
  <si>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</si>
  <si>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</si>
  <si>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</si>
  <si>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</si>
  <si>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</si>
  <si>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</si>
  <si>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</si>
  <si>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</si>
  <si>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</si>
  <si>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</si>
  <si>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</si>
  <si>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</si>
  <si>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</si>
  <si>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</si>
  <si>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</si>
  <si>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</si>
  <si>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</si>
  <si>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</si>
  <si>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</si>
  <si>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</si>
  <si>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</si>
  <si>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</si>
  <si>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</si>
  <si>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</si>
  <si>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</si>
  <si>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</si>
  <si>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</si>
  <si>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</si>
  <si>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</si>
  <si>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</si>
  <si>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</si>
  <si>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</si>
  <si>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</si>
  <si>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</si>
  <si>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</si>
  <si>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</si>
  <si>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</si>
  <si>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</si>
  <si>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</si>
  <si>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</si>
  <si>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</si>
  <si>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</si>
  <si>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</si>
  <si>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</si>
  <si>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</si>
  <si>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</si>
  <si>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</si>
  <si>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</si>
  <si>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</si>
  <si>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</si>
  <si>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</si>
  <si>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</si>
  <si>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</si>
  <si>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</si>
  <si>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</si>
  <si>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</si>
  <si>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</si>
  <si>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</si>
  <si>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</si>
  <si>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</si>
  <si>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</si>
  <si>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</si>
  <si>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</si>
  <si>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</si>
  <si>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</si>
  <si>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</si>
  <si>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</si>
  <si>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</si>
  <si>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</si>
  <si>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</si>
  <si>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</si>
  <si>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</si>
  <si>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</si>
  <si>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</si>
  <si>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</si>
  <si>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</si>
  <si>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</si>
  <si>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</si>
  <si>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</si>
  <si>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</si>
  <si>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</si>
  <si>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</si>
  <si>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</si>
  <si>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</si>
  <si>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</si>
  <si>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</si>
  <si>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</si>
  <si>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</si>
  <si>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</si>
  <si>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</si>
  <si>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</si>
  <si>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</si>
  <si>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</si>
  <si>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</si>
  <si>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</si>
  <si>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</si>
  <si>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</si>
  <si>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</si>
  <si>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</si>
  <si>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</si>
  <si>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</si>
  <si>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</si>
  <si>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</si>
  <si>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</si>
  <si>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</si>
  <si>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</si>
  <si>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</si>
  <si>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</si>
  <si>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</si>
  <si>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</si>
  <si>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</si>
  <si>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</si>
  <si>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</si>
  <si>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</si>
  <si>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</si>
  <si>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</si>
  <si>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</si>
  <si>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</si>
  <si>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</si>
  <si>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</si>
  <si>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</si>
  <si>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</si>
  <si>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</si>
  <si>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</si>
  <si>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</si>
  <si>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</si>
  <si>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</si>
  <si>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</si>
  <si>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</si>
  <si>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</si>
  <si>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</si>
  <si>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</si>
  <si>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</si>
  <si>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</si>
  <si>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</si>
  <si>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</si>
  <si>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</si>
  <si>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</si>
  <si>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</si>
  <si>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</si>
  <si>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</si>
  <si>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</si>
  <si>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</si>
  <si>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</si>
  <si>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</si>
  <si>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</si>
  <si>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</si>
  <si>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</si>
  <si>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</si>
  <si>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</si>
  <si>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</si>
  <si>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</si>
  <si>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</si>
  <si>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</si>
  <si>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</si>
  <si>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</si>
  <si>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</si>
  <si>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</si>
  <si>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</si>
  <si>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</si>
  <si>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</si>
  <si>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</si>
  <si>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</si>
  <si>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</si>
  <si>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</si>
  <si>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</si>
  <si>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</si>
  <si>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</si>
  <si>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</si>
  <si>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</si>
  <si>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</si>
  <si>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</si>
  <si>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</si>
  <si>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</si>
  <si>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</si>
  <si>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</si>
  <si>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</si>
  <si>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</si>
  <si>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</si>
  <si>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</si>
  <si>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</si>
  <si>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</si>
  <si>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</si>
  <si>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</si>
  <si>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</si>
  <si>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</si>
  <si>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</si>
  <si>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</si>
  <si>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</si>
  <si>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</si>
  <si>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</si>
  <si>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</si>
  <si>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</si>
  <si>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</si>
  <si>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</si>
  <si>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</si>
  <si>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</si>
  <si>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</si>
  <si>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</si>
  <si>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</si>
  <si>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</si>
  <si>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</si>
  <si>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</si>
  <si>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</si>
  <si>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</si>
  <si>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</si>
  <si>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</si>
  <si>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</si>
  <si>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</si>
  <si>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</si>
  <si>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</si>
  <si>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</si>
  <si>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</si>
  <si>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</si>
  <si>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</si>
  <si>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</si>
  <si>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</si>
  <si>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</si>
  <si>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</si>
  <si>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</si>
  <si>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</si>
  <si>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</si>
  <si>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</si>
  <si>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</si>
  <si>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</si>
  <si>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</si>
  <si>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</si>
  <si>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</si>
  <si>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</si>
  <si>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</si>
  <si>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</si>
  <si>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</si>
  <si>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</si>
  <si>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</si>
  <si>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</si>
  <si>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</si>
  <si>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</si>
  <si>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</si>
  <si>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</si>
  <si>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</si>
  <si>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</si>
  <si>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</si>
  <si>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</si>
  <si>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</si>
  <si>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</si>
  <si>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</si>
  <si>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</si>
  <si>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</si>
  <si>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</si>
  <si>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</si>
  <si>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</si>
  <si>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</si>
  <si>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</si>
  <si>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</si>
  <si>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</si>
  <si>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</si>
  <si>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</si>
  <si>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</si>
  <si>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</si>
  <si>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</si>
  <si>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</si>
  <si>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</si>
  <si>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</si>
  <si>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</si>
  <si>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</si>
  <si>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</si>
  <si>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</si>
  <si>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</si>
  <si>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</si>
  <si>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</si>
  <si>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</si>
  <si>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</si>
  <si>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</si>
  <si>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</si>
  <si>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</si>
  <si>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</si>
  <si>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</si>
  <si>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</si>
  <si>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</si>
  <si>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</si>
  <si>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</si>
  <si>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</si>
  <si>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</si>
  <si>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</si>
  <si>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</si>
  <si>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</si>
  <si>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</si>
  <si>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</si>
  <si>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</si>
  <si>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</si>
  <si>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</si>
  <si>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</si>
  <si>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</si>
  <si>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</si>
  <si>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</si>
  <si>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</si>
  <si>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</si>
  <si>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</si>
  <si>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</si>
  <si>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</si>
  <si>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</si>
  <si>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</si>
  <si>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</si>
  <si>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</si>
  <si>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</si>
  <si>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</si>
  <si>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</si>
  <si>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</si>
  <si>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</si>
  <si>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</si>
  <si>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</si>
  <si>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</si>
  <si>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</si>
  <si>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</si>
  <si>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</si>
  <si>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</si>
  <si>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</si>
  <si>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</si>
  <si>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</si>
  <si>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</si>
  <si>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</si>
  <si>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</si>
  <si>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</si>
  <si>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</si>
  <si>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</si>
  <si>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</si>
  <si>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</si>
  <si>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</si>
  <si>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</si>
  <si>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</si>
  <si>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</si>
  <si>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</si>
  <si>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</si>
  <si>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</si>
  <si>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</si>
  <si>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</si>
  <si>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</si>
  <si>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</si>
  <si>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</si>
  <si>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</si>
  <si>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</si>
  <si>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</si>
  <si>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</si>
  <si>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</si>
  <si>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</si>
  <si>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</si>
  <si>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</si>
  <si>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</si>
  <si>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</si>
  <si>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</si>
  <si>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</si>
  <si>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</si>
  <si>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</si>
  <si>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</si>
  <si>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</si>
  <si>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</si>
  <si>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</si>
  <si>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</si>
  <si>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</si>
  <si>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</si>
  <si>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</si>
  <si>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</si>
  <si>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</si>
  <si>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</si>
  <si>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</si>
  <si>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</si>
  <si>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</si>
  <si>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</si>
  <si>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</si>
  <si>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</si>
  <si>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</si>
  <si>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</si>
  <si>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</si>
  <si>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</si>
  <si>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</si>
  <si>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</si>
  <si>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</si>
  <si>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</si>
  <si>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</si>
  <si>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</si>
  <si>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</si>
  <si>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</si>
  <si>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</si>
  <si>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</si>
  <si>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</si>
  <si>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</si>
  <si>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</si>
  <si>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</si>
  <si>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</si>
  <si>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</si>
  <si>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</si>
  <si>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</si>
  <si>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</si>
  <si>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</si>
  <si>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</si>
  <si>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</si>
  <si>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</si>
  <si>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</si>
  <si>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</si>
  <si>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</si>
  <si>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</si>
  <si>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</si>
  <si>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</si>
  <si>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</si>
  <si>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</si>
  <si>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</si>
  <si>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</si>
  <si>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</si>
  <si>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</si>
  <si>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</si>
  <si>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</si>
  <si>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</si>
  <si>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</si>
  <si>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</si>
  <si>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</si>
  <si>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</si>
  <si>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</si>
  <si>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</si>
  <si>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</si>
  <si>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</si>
  <si>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</si>
  <si>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</si>
  <si>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</si>
  <si>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</si>
  <si>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</si>
  <si>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</si>
  <si>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</si>
  <si>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</si>
  <si>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</si>
  <si>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</si>
  <si>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</si>
  <si>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</si>
  <si>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</si>
  <si>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</si>
  <si>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</si>
  <si>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</si>
  <si>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</si>
  <si>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</si>
  <si>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</si>
  <si>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</si>
  <si>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</si>
  <si>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</si>
  <si>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</si>
  <si>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</si>
  <si>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</si>
  <si>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</si>
  <si>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</si>
  <si>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</si>
  <si>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</si>
  <si>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</si>
  <si>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</si>
  <si>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</si>
  <si>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</si>
  <si>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</si>
  <si>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</si>
  <si>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</si>
  <si>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</si>
  <si>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</si>
  <si>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</si>
  <si>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</si>
  <si>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</si>
  <si>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</si>
  <si>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</si>
  <si>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</si>
  <si>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</si>
  <si>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</si>
  <si>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</si>
  <si>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</si>
  <si>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</si>
  <si>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</si>
  <si>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</si>
  <si>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</si>
  <si>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</si>
  <si>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</si>
  <si>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</si>
  <si>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</si>
  <si>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</si>
  <si>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</si>
  <si>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</si>
  <si>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</si>
  <si>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</si>
  <si>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</si>
  <si>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</si>
  <si>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</si>
  <si>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</si>
  <si>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</si>
  <si>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</si>
  <si>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</si>
  <si>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</si>
  <si>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</si>
  <si>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</si>
  <si>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</si>
  <si>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</si>
  <si>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</si>
  <si>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</si>
  <si>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</si>
  <si>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</si>
  <si>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</si>
  <si>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</si>
  <si>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</si>
  <si>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</si>
  <si>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</si>
  <si>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</si>
  <si>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</si>
  <si>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</si>
  <si>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</si>
  <si>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</si>
  <si>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</si>
  <si>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</si>
  <si>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</si>
  <si>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</si>
  <si>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</si>
  <si>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</si>
  <si>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</si>
  <si>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</si>
  <si>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</si>
  <si>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</si>
  <si>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</si>
  <si>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</si>
  <si>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</si>
  <si>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</si>
  <si>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</si>
  <si>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</si>
  <si>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</si>
  <si>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</si>
  <si>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</si>
  <si>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</si>
  <si>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</si>
  <si>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</si>
  <si>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</si>
  <si>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</si>
  <si>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</si>
  <si>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</si>
  <si>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</si>
  <si>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</si>
  <si>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</si>
  <si>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</si>
  <si>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</si>
  <si>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</si>
  <si>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</si>
  <si>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</si>
  <si>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</si>
  <si>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</si>
  <si>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</si>
  <si>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</si>
  <si>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</si>
  <si>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</si>
  <si>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</si>
  <si>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</si>
  <si>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</si>
  <si>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</si>
  <si>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</si>
  <si>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</si>
  <si>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</si>
  <si>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</si>
  <si>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</si>
  <si>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</si>
  <si>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</si>
  <si>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</si>
  <si>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</si>
  <si>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</si>
  <si>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</si>
  <si>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</si>
  <si>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</si>
  <si>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</si>
  <si>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</si>
  <si>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</si>
  <si>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</si>
  <si>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</si>
  <si>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</si>
  <si>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</si>
  <si>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</si>
  <si>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</si>
  <si>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</si>
  <si>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</si>
  <si>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</si>
  <si>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</si>
  <si>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</si>
  <si>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</si>
  <si>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</si>
  <si>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</si>
  <si>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</si>
  <si>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</si>
  <si>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</si>
  <si>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</si>
  <si>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</si>
  <si>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</si>
  <si>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</si>
  <si>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</si>
  <si>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</si>
  <si>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</si>
  <si>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</si>
  <si>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</si>
  <si>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</si>
  <si>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</si>
  <si>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</si>
  <si>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</si>
  <si>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</si>
  <si>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</si>
  <si>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</si>
  <si>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</si>
  <si>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</si>
  <si>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</si>
  <si>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</si>
  <si>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</si>
  <si>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</si>
  <si>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</si>
  <si>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</si>
  <si>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</si>
  <si>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</si>
  <si>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</si>
  <si>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</si>
  <si>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</si>
  <si>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</si>
  <si>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</si>
  <si>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</si>
  <si>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</si>
  <si>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</si>
  <si>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</si>
  <si>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</si>
  <si>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</si>
  <si>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</si>
  <si>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</si>
  <si>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</si>
  <si>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</si>
  <si>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</si>
  <si>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</si>
  <si>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</si>
  <si>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</si>
  <si>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</si>
  <si>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</si>
  <si>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</si>
  <si>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</si>
  <si>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</si>
  <si>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</si>
  <si>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</si>
  <si>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</si>
  <si>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</si>
  <si>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</si>
  <si>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</si>
  <si>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</si>
  <si>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</si>
  <si>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</si>
  <si>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</si>
  <si>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</si>
  <si>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</si>
  <si>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</si>
  <si>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</si>
  <si>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</si>
  <si>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</si>
  <si>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</si>
  <si>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</si>
  <si>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</si>
  <si>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</si>
  <si>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</si>
  <si>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</si>
  <si>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</si>
  <si>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</si>
  <si>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</si>
  <si>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</si>
  <si>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</si>
  <si>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</si>
  <si>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</si>
  <si>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</si>
  <si>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</si>
  <si>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</si>
  <si>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</si>
  <si>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</si>
  <si>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</si>
  <si>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</si>
  <si>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</si>
  <si>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</si>
  <si>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</si>
  <si>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</si>
  <si>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</si>
  <si>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</si>
  <si>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</si>
  <si>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</si>
  <si>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</si>
  <si>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</si>
  <si>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</si>
  <si>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</si>
  <si>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</si>
  <si>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</si>
  <si>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</si>
  <si>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</si>
  <si>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</si>
  <si>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</si>
  <si>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</si>
  <si>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</si>
  <si>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</si>
  <si>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</si>
  <si>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</si>
  <si>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</si>
  <si>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</si>
  <si>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</si>
  <si>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</si>
  <si>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</si>
  <si>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</si>
  <si>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</si>
  <si>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</si>
  <si>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</si>
  <si>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</si>
  <si>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</si>
  <si>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</si>
  <si>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</si>
  <si>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</si>
  <si>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</si>
  <si>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</si>
  <si>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</si>
  <si>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</si>
  <si>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</si>
  <si>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</si>
  <si>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</si>
  <si>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</si>
  <si>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</si>
  <si>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</si>
  <si>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</si>
  <si>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</si>
  <si>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</si>
  <si>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</si>
  <si>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</si>
  <si>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</si>
  <si>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</si>
  <si>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</si>
  <si>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</si>
  <si>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</si>
  <si>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</si>
  <si>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</si>
  <si>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</si>
  <si>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</si>
  <si>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</si>
  <si>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</si>
  <si>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</si>
  <si>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</si>
  <si>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</si>
  <si>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</si>
  <si>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</si>
  <si>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</si>
  <si>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</si>
  <si>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</si>
  <si>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</si>
  <si>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</si>
  <si>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</si>
  <si>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</si>
  <si>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</si>
  <si>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</si>
  <si>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</si>
  <si>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</si>
  <si>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</si>
  <si>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</si>
  <si>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</si>
  <si>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</si>
  <si>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</si>
  <si>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</si>
  <si>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</si>
  <si>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</si>
  <si>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</si>
  <si>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</si>
  <si>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</si>
  <si>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</si>
  <si>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</si>
  <si>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</si>
  <si>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</si>
  <si>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</si>
  <si>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</si>
  <si>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</si>
  <si>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</si>
  <si>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</si>
  <si>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</si>
  <si>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</si>
  <si>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</si>
  <si>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</si>
  <si>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</si>
  <si>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</si>
  <si>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</si>
  <si>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</si>
  <si>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</si>
  <si>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</si>
  <si>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</si>
  <si>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</si>
  <si>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</si>
  <si>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</si>
  <si>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</si>
  <si>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</si>
  <si>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</si>
  <si>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</si>
  <si>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</si>
  <si>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</si>
  <si>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</si>
  <si>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</si>
  <si>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</si>
  <si>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</si>
  <si>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</si>
  <si>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</si>
  <si>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</si>
  <si>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</si>
  <si>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</si>
  <si>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</si>
  <si>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</si>
  <si>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</si>
  <si>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</si>
  <si>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</si>
  <si>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</si>
  <si>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</si>
  <si>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</si>
  <si>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</si>
  <si>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</si>
  <si>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</si>
  <si>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</si>
  <si>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</si>
  <si>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</si>
  <si>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</si>
  <si>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</si>
  <si>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</si>
  <si>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</si>
  <si>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</si>
  <si>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</si>
  <si>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</si>
  <si>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</si>
  <si>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</si>
  <si>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</si>
  <si>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</si>
  <si>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</si>
  <si>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</si>
  <si>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</si>
  <si>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</si>
  <si>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</si>
  <si>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</si>
  <si>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</si>
  <si>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</si>
  <si>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</si>
  <si>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</si>
  <si>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</si>
  <si>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</si>
  <si>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</si>
  <si>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</si>
  <si>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</si>
  <si>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</si>
  <si>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</si>
  <si>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</si>
  <si>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</si>
  <si>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</si>
  <si>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</si>
  <si>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</si>
  <si>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</si>
  <si>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</si>
  <si>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</si>
  <si>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</si>
  <si>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</si>
  <si>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</si>
  <si>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</si>
  <si>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</si>
  <si>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</si>
  <si>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</si>
  <si>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</si>
  <si>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</si>
  <si>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</si>
  <si>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</si>
  <si>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</si>
  <si>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</si>
  <si>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</si>
  <si>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</si>
  <si>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</si>
  <si>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</si>
  <si>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</si>
  <si>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</si>
  <si>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</si>
  <si>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</si>
  <si>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</si>
  <si>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</si>
  <si>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</si>
  <si>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</si>
  <si>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</si>
  <si>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</si>
  <si>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</si>
  <si>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</si>
  <si>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</si>
  <si>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</si>
  <si>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</si>
  <si>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</si>
  <si>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</si>
  <si>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</si>
  <si>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</si>
  <si>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</si>
  <si>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</si>
  <si>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</si>
  <si>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</si>
  <si>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</si>
  <si>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</si>
  <si>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</si>
  <si>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</si>
  <si>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</si>
  <si>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</si>
  <si>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</si>
  <si>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</si>
  <si>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</si>
  <si>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</si>
  <si>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</si>
  <si>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</si>
  <si>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</si>
  <si>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</si>
  <si>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</si>
  <si>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</si>
  <si>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</si>
  <si>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</si>
  <si>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</si>
  <si>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</si>
  <si>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</si>
  <si>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</si>
  <si>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</si>
  <si>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</si>
  <si>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</si>
  <si>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</si>
  <si>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</si>
  <si>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</si>
  <si>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</si>
  <si>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</si>
  <si>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</si>
  <si>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</si>
  <si>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</si>
  <si>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</si>
  <si>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</si>
  <si>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</si>
  <si>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</si>
  <si>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</si>
  <si>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</si>
  <si>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</si>
  <si>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</si>
  <si>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</si>
  <si>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</si>
  <si>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</si>
  <si>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</si>
  <si>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</si>
  <si>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</si>
  <si>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</si>
  <si>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</si>
  <si>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</si>
  <si>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</si>
  <si>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</si>
  <si>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</si>
  <si>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</si>
  <si>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</si>
  <si>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</si>
  <si>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</si>
  <si>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</si>
  <si>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</si>
  <si>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</si>
  <si>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</si>
  <si>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</si>
  <si>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</si>
  <si>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</si>
  <si>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</si>
  <si>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</si>
  <si>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</si>
  <si>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</si>
  <si>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</si>
  <si>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</si>
  <si>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</si>
  <si>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</si>
  <si>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</si>
  <si>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</si>
  <si>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</si>
  <si>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</si>
  <si>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</si>
  <si>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</si>
  <si>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</si>
  <si>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</si>
  <si>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</si>
  <si>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</si>
  <si>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</si>
  <si>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</si>
  <si>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</si>
  <si>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</si>
  <si>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</si>
  <si>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</si>
  <si>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</si>
  <si>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</si>
  <si>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</si>
  <si>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</si>
  <si>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</si>
  <si>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</si>
  <si>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</si>
  <si>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</si>
  <si>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</si>
  <si>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</si>
  <si>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</si>
  <si>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</si>
  <si>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</si>
  <si>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</si>
  <si>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</si>
  <si>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</si>
  <si>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</si>
  <si>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</si>
  <si>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</si>
  <si>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</si>
  <si>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</si>
  <si>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</si>
  <si>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</si>
  <si>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</si>
  <si>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</si>
  <si>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</si>
  <si>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</si>
  <si>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</si>
  <si>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</si>
  <si>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</si>
  <si>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</si>
  <si>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</si>
  <si>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</si>
  <si>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</si>
  <si>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</si>
  <si>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</si>
  <si>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</si>
  <si>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</si>
  <si>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</si>
  <si>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</si>
  <si>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</si>
  <si>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</si>
  <si>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</si>
  <si>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</si>
  <si>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</si>
  <si>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</si>
  <si>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</si>
  <si>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</si>
  <si>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</si>
  <si>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</si>
  <si>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</si>
  <si>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</si>
  <si>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</si>
  <si>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</si>
  <si>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</si>
  <si>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</si>
  <si>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</si>
  <si>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</si>
  <si>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</si>
  <si>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</si>
  <si>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</si>
  <si>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</si>
  <si>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</si>
  <si>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</si>
  <si>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</si>
  <si>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</si>
  <si>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</si>
  <si>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</si>
  <si>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</si>
  <si>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</si>
  <si>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</si>
  <si>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</si>
  <si>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</si>
  <si>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</si>
  <si>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</si>
  <si>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</si>
  <si>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</si>
  <si>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</si>
  <si>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</si>
  <si>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</si>
  <si>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</si>
  <si>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</si>
  <si>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</si>
  <si>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</si>
  <si>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</si>
  <si>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</si>
  <si>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</si>
  <si>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</si>
  <si>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</si>
  <si>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</si>
  <si>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</si>
  <si>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</si>
  <si>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</si>
  <si>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</si>
  <si>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</si>
  <si>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</si>
  <si>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</si>
  <si>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</si>
  <si>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</si>
  <si>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</si>
  <si>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</si>
  <si>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</si>
  <si>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</si>
  <si>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</si>
  <si>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</si>
  <si>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</si>
  <si>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</si>
  <si>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</si>
  <si>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</si>
  <si>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</si>
  <si>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</si>
  <si>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</si>
  <si>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</si>
  <si>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</si>
  <si>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</si>
  <si>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</si>
  <si>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</si>
  <si>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خرید اشاد 9 29/3/97 قیمت 823457</t>
  </si>
  <si>
    <t>بورس 9 تا سکه 20/3/97 قیمت 23495000</t>
  </si>
  <si>
    <t>فارس 31804 تا 30/3/97 قیمت 5688</t>
  </si>
  <si>
    <t>30/3/97</t>
  </si>
  <si>
    <t>مبلغ 7.5 از حساب یاران مریم و 0.416 از سهم علی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</si>
  <si>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</si>
  <si>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</si>
  <si>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</si>
  <si>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</si>
  <si>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</si>
  <si>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</si>
  <si>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بدهی به داوود</t>
  </si>
  <si>
    <t>بدهی به مهدی</t>
  </si>
  <si>
    <t>طلب داریوش</t>
  </si>
  <si>
    <t>پرداخت بدهی صندوق رفاه مریم 500 خودش داد ملت علی 2/4/97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</si>
</sst>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topLeftCell="A28" workbookViewId="0">
      <selection activeCell="E50" sqref="E5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3903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3912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6405621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97854.667393732685</v>
      </c>
      <c r="C2" s="91">
        <f>$S2/(1+($AC$3-$O2+$P2)/36500)^$N2</f>
        <v>97894.330454208728</v>
      </c>
      <c r="D2" s="91">
        <f>$S2/(1+($AC$4-$O2+$P2)/36500)^$N2</f>
        <v>97943.932499446819</v>
      </c>
      <c r="E2" s="91">
        <f>$S2/(1+($AC$5-$O2+$P2)/36500)^$N2</f>
        <v>97993.560357147391</v>
      </c>
      <c r="F2" s="91">
        <f>$S2/(1+($AC$6-$O2+$P2)/36500)^$N2</f>
        <v>98043.214041097846</v>
      </c>
      <c r="G2" s="91">
        <f>$S2/(1+($AC$7-$O2+$P2)/36500)^$N2</f>
        <v>98092.893565090722</v>
      </c>
      <c r="H2" s="91">
        <f>$S2/(1+($AC$8-$O2+$P2)/36500)^$N2</f>
        <v>98142.598942928496</v>
      </c>
      <c r="I2" s="91">
        <f>$S2/(1+($AC$9-$O2+$P2)/36500)^$N2</f>
        <v>98192.330188419393</v>
      </c>
      <c r="J2" s="91">
        <f>$S2/(1+($AC$10-$O2+$P2)/36500)^$N2</f>
        <v>98242.087315379904</v>
      </c>
      <c r="K2" s="91">
        <f>$S2/(1+($AC$11-$O2+$P2)/36500)^$N2</f>
        <v>98291.870337635555</v>
      </c>
      <c r="L2" s="91">
        <f>$S2/(1+($AC$5-$O2+$P2)/36500)^$N2</f>
        <v>97993.560357147391</v>
      </c>
      <c r="M2" s="90" t="s">
        <v>1000</v>
      </c>
      <c r="N2" s="90">
        <f>132-$AD$19</f>
        <v>37</v>
      </c>
      <c r="O2" s="90">
        <v>0</v>
      </c>
      <c r="P2" s="90">
        <v>0</v>
      </c>
      <c r="Q2" s="90">
        <v>0</v>
      </c>
      <c r="R2" s="90">
        <f t="shared" ref="R2:R29" si="0">N2/30.5</f>
        <v>1.2131147540983607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95867.675219885175</v>
      </c>
      <c r="C3" s="93">
        <f t="shared" ref="C3:C29" si="3">$S3/(1+($AC$3-$O3+$P3)/36500)^$N3</f>
        <v>95943.304661611328</v>
      </c>
      <c r="D3" s="93">
        <f t="shared" ref="D3:D29" si="4">$S3/(1+($AC$4-$O3+$P3)/36500)^$N3</f>
        <v>96037.926537718886</v>
      </c>
      <c r="E3" s="93">
        <f t="shared" ref="E3:E29" si="5">$S3/(1+($AC$5-$O3+$P3)/36500)^$N3</f>
        <v>96132.643029861196</v>
      </c>
      <c r="F3" s="93">
        <f t="shared" ref="F3:F29" si="6">$S3/(1+($AC$6-$O3+$P3)/36500)^$N3</f>
        <v>96227.454233947923</v>
      </c>
      <c r="G3" s="93">
        <f t="shared" ref="G3:G29" si="7">$S3/(1+($AC$7-$O3+$P3)/36500)^$N3</f>
        <v>96322.360245982782</v>
      </c>
      <c r="H3" s="93">
        <f t="shared" ref="H3:H29" si="8">$S3/(1+($AC$8-$O3+$P3)/36500)^$N3</f>
        <v>96417.361162072601</v>
      </c>
      <c r="I3" s="93">
        <f t="shared" ref="I3:I29" si="9">$S3/(1+($AC$9-$O3+$P3)/36500)^$N3</f>
        <v>96512.457078419422</v>
      </c>
      <c r="J3" s="93">
        <f t="shared" ref="J3:J29" si="10">$S3/(1+($AC$10-$O3+$P3)/36500)^$N3</f>
        <v>96607.648091325653</v>
      </c>
      <c r="K3" s="93">
        <f t="shared" ref="K3:K29" si="11">$S3/(1+($AC$11-$O3+$P3)/36500)^$N3</f>
        <v>96702.934297195272</v>
      </c>
      <c r="L3" s="93">
        <f t="shared" ref="L3:L29" si="12">$S3/(1+($AC$5-$O3+$P3)/36500)^$N3</f>
        <v>96132.643029861196</v>
      </c>
      <c r="M3" s="92" t="s">
        <v>1001</v>
      </c>
      <c r="N3" s="92">
        <f>167-$AD$19</f>
        <v>72</v>
      </c>
      <c r="O3" s="92">
        <v>0</v>
      </c>
      <c r="P3" s="92">
        <v>0</v>
      </c>
      <c r="Q3" s="92">
        <v>0</v>
      </c>
      <c r="R3" s="92">
        <f t="shared" si="0"/>
        <v>2.360655737704918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94251.910830773282</v>
      </c>
      <c r="C4" s="95">
        <f t="shared" si="3"/>
        <v>94356.230624999997</v>
      </c>
      <c r="D4" s="95">
        <f t="shared" si="4"/>
        <v>94486.794362636312</v>
      </c>
      <c r="E4" s="95">
        <f t="shared" si="5"/>
        <v>94617.540556759574</v>
      </c>
      <c r="F4" s="95">
        <f t="shared" si="6"/>
        <v>94748.469464850161</v>
      </c>
      <c r="G4" s="95">
        <f t="shared" si="7"/>
        <v>94879.581344749022</v>
      </c>
      <c r="H4" s="95">
        <f t="shared" si="8"/>
        <v>95010.876454670695</v>
      </c>
      <c r="I4" s="95">
        <f t="shared" si="9"/>
        <v>95142.355053192892</v>
      </c>
      <c r="J4" s="95">
        <f t="shared" si="10"/>
        <v>95274.017399263743</v>
      </c>
      <c r="K4" s="95">
        <f t="shared" si="11"/>
        <v>95405.863752204168</v>
      </c>
      <c r="L4" s="95">
        <f t="shared" si="12"/>
        <v>94617.540556759574</v>
      </c>
      <c r="M4" s="94" t="s">
        <v>1002</v>
      </c>
      <c r="N4" s="94">
        <f>196-$AD$19</f>
        <v>101</v>
      </c>
      <c r="O4" s="94">
        <v>0</v>
      </c>
      <c r="P4" s="94">
        <v>0</v>
      </c>
      <c r="Q4" s="94">
        <v>0</v>
      </c>
      <c r="R4" s="94">
        <f t="shared" si="0"/>
        <v>3.3114754098360657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74335.499783075007</v>
      </c>
      <c r="C5" s="91">
        <f t="shared" si="3"/>
        <v>74748.609792432107</v>
      </c>
      <c r="D5" s="91">
        <f t="shared" si="4"/>
        <v>75268.233699607139</v>
      </c>
      <c r="E5" s="91">
        <f t="shared" si="5"/>
        <v>75791.477023043524</v>
      </c>
      <c r="F5" s="91">
        <f t="shared" si="6"/>
        <v>76318.365023702107</v>
      </c>
      <c r="G5" s="91">
        <f t="shared" si="7"/>
        <v>76848.9231391715</v>
      </c>
      <c r="H5" s="91">
        <f t="shared" si="8"/>
        <v>77383.176984956095</v>
      </c>
      <c r="I5" s="91">
        <f t="shared" si="9"/>
        <v>77921.152355677827</v>
      </c>
      <c r="J5" s="91">
        <f t="shared" si="10"/>
        <v>78462.875226359305</v>
      </c>
      <c r="K5" s="91">
        <f t="shared" si="11"/>
        <v>79008.371753695115</v>
      </c>
      <c r="L5" s="91">
        <f t="shared" si="12"/>
        <v>75791.477023043524</v>
      </c>
      <c r="M5" s="90" t="s">
        <v>1003</v>
      </c>
      <c r="N5" s="90">
        <f>601-$AD$19</f>
        <v>506</v>
      </c>
      <c r="O5" s="90">
        <v>0</v>
      </c>
      <c r="P5" s="90">
        <v>0</v>
      </c>
      <c r="Q5" s="90">
        <v>0</v>
      </c>
      <c r="R5" s="90">
        <f t="shared" si="0"/>
        <v>16.590163934426229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90145.519998895033</v>
      </c>
      <c r="C6" s="93">
        <f t="shared" si="3"/>
        <v>90320.445608726674</v>
      </c>
      <c r="D6" s="93">
        <f t="shared" si="4"/>
        <v>90539.582738665675</v>
      </c>
      <c r="E6" s="93">
        <f t="shared" si="5"/>
        <v>90759.25455428462</v>
      </c>
      <c r="F6" s="93">
        <f t="shared" si="6"/>
        <v>90979.462367547079</v>
      </c>
      <c r="G6" s="93">
        <f t="shared" si="7"/>
        <v>91200.207493643262</v>
      </c>
      <c r="H6" s="93">
        <f t="shared" si="8"/>
        <v>91421.491251019164</v>
      </c>
      <c r="I6" s="93">
        <f t="shared" si="9"/>
        <v>91643.314961365701</v>
      </c>
      <c r="J6" s="93">
        <f t="shared" si="10"/>
        <v>91865.679949638696</v>
      </c>
      <c r="K6" s="93">
        <f t="shared" si="11"/>
        <v>92088.587544069655</v>
      </c>
      <c r="L6" s="93">
        <f t="shared" si="12"/>
        <v>90759.25455428462</v>
      </c>
      <c r="M6" s="92" t="s">
        <v>1004</v>
      </c>
      <c r="N6" s="92">
        <f>272-$AD$19</f>
        <v>177</v>
      </c>
      <c r="O6" s="92">
        <v>0</v>
      </c>
      <c r="P6" s="92">
        <v>0</v>
      </c>
      <c r="Q6" s="92">
        <v>0</v>
      </c>
      <c r="R6" s="92">
        <f t="shared" si="0"/>
        <v>5.8032786885245899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75565.532142334618</v>
      </c>
      <c r="C7" s="95">
        <f t="shared" si="3"/>
        <v>75962.178914357428</v>
      </c>
      <c r="D7" s="95">
        <f t="shared" si="4"/>
        <v>76460.922659563847</v>
      </c>
      <c r="E7" s="95">
        <f t="shared" si="5"/>
        <v>76962.947894799028</v>
      </c>
      <c r="F7" s="95">
        <f t="shared" si="6"/>
        <v>77468.276256045894</v>
      </c>
      <c r="G7" s="95">
        <f t="shared" si="7"/>
        <v>77976.929522215956</v>
      </c>
      <c r="H7" s="95">
        <f t="shared" si="8"/>
        <v>78488.929616143607</v>
      </c>
      <c r="I7" s="95">
        <f t="shared" si="9"/>
        <v>79004.298605495904</v>
      </c>
      <c r="J7" s="95">
        <f t="shared" si="10"/>
        <v>79523.058703758739</v>
      </c>
      <c r="K7" s="95">
        <f t="shared" si="11"/>
        <v>80045.232271208952</v>
      </c>
      <c r="L7" s="95">
        <f t="shared" si="12"/>
        <v>76962.947894799028</v>
      </c>
      <c r="M7" s="94" t="s">
        <v>1005</v>
      </c>
      <c r="N7" s="94">
        <f>573-$AD$19</f>
        <v>478</v>
      </c>
      <c r="O7" s="94">
        <v>0</v>
      </c>
      <c r="P7" s="94">
        <v>0</v>
      </c>
      <c r="Q7" s="94">
        <v>0</v>
      </c>
      <c r="R7" s="94">
        <f t="shared" si="0"/>
        <v>15.672131147540984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89408.829347247549</v>
      </c>
      <c r="C8" s="91">
        <f t="shared" si="3"/>
        <v>89596.06263586042</v>
      </c>
      <c r="D8" s="91">
        <f t="shared" si="4"/>
        <v>89830.658613702632</v>
      </c>
      <c r="E8" s="91">
        <f t="shared" si="5"/>
        <v>90065.872075974417</v>
      </c>
      <c r="F8" s="91">
        <f t="shared" si="6"/>
        <v>90301.704656460759</v>
      </c>
      <c r="G8" s="91">
        <f t="shared" si="7"/>
        <v>90538.157993280664</v>
      </c>
      <c r="H8" s="91">
        <f t="shared" si="8"/>
        <v>90775.233728921274</v>
      </c>
      <c r="I8" s="91">
        <f t="shared" si="9"/>
        <v>91012.933510229253</v>
      </c>
      <c r="J8" s="91">
        <f t="shared" si="10"/>
        <v>91251.258988435249</v>
      </c>
      <c r="K8" s="91">
        <f t="shared" si="11"/>
        <v>91490.211819168428</v>
      </c>
      <c r="L8" s="91">
        <f t="shared" si="12"/>
        <v>90065.872075974417</v>
      </c>
      <c r="M8" s="90" t="s">
        <v>1007</v>
      </c>
      <c r="N8" s="90">
        <f>286-$AD$19</f>
        <v>191</v>
      </c>
      <c r="O8" s="90">
        <v>0</v>
      </c>
      <c r="P8" s="90">
        <v>0</v>
      </c>
      <c r="Q8" s="90">
        <v>0</v>
      </c>
      <c r="R8" s="90">
        <f t="shared" si="0"/>
        <v>6.2622950819672134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80315.106550256271</v>
      </c>
      <c r="C9" s="93">
        <f t="shared" si="3"/>
        <v>80644.772116816384</v>
      </c>
      <c r="D9" s="93">
        <f t="shared" si="4"/>
        <v>81058.762724201559</v>
      </c>
      <c r="E9" s="93">
        <f t="shared" si="5"/>
        <v>81474.884267457281</v>
      </c>
      <c r="F9" s="93">
        <f t="shared" si="6"/>
        <v>81893.14774457</v>
      </c>
      <c r="G9" s="93">
        <f t="shared" si="7"/>
        <v>82313.56421041982</v>
      </c>
      <c r="H9" s="93">
        <f t="shared" si="8"/>
        <v>82736.144777115405</v>
      </c>
      <c r="I9" s="93">
        <f t="shared" si="9"/>
        <v>83160.900614255268</v>
      </c>
      <c r="J9" s="93">
        <f t="shared" si="10"/>
        <v>83587.842949248618</v>
      </c>
      <c r="K9" s="93">
        <f t="shared" si="11"/>
        <v>84016.983067620589</v>
      </c>
      <c r="L9" s="93">
        <f t="shared" si="12"/>
        <v>81474.884267457281</v>
      </c>
      <c r="M9" s="92" t="s">
        <v>1006</v>
      </c>
      <c r="N9" s="92">
        <f>469-$AD$19</f>
        <v>374</v>
      </c>
      <c r="O9" s="92">
        <v>0</v>
      </c>
      <c r="P9" s="92">
        <v>0</v>
      </c>
      <c r="Q9" s="92">
        <v>0</v>
      </c>
      <c r="R9" s="92">
        <f t="shared" si="0"/>
        <v>12.262295081967213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80315.106550256271</v>
      </c>
      <c r="C10" s="95">
        <f t="shared" si="3"/>
        <v>80644.772116816384</v>
      </c>
      <c r="D10" s="95">
        <f t="shared" si="4"/>
        <v>81058.762724201559</v>
      </c>
      <c r="E10" s="95">
        <f t="shared" si="5"/>
        <v>81474.884267457281</v>
      </c>
      <c r="F10" s="95">
        <f t="shared" si="6"/>
        <v>81893.14774457</v>
      </c>
      <c r="G10" s="95">
        <f t="shared" si="7"/>
        <v>82313.56421041982</v>
      </c>
      <c r="H10" s="95">
        <f t="shared" si="8"/>
        <v>82736.144777115405</v>
      </c>
      <c r="I10" s="95">
        <f t="shared" si="9"/>
        <v>83160.900614255268</v>
      </c>
      <c r="J10" s="95">
        <f t="shared" si="10"/>
        <v>83587.842949248618</v>
      </c>
      <c r="K10" s="95">
        <f t="shared" si="11"/>
        <v>84016.983067620589</v>
      </c>
      <c r="L10" s="95">
        <f t="shared" si="12"/>
        <v>81474.884267457281</v>
      </c>
      <c r="M10" s="94" t="s">
        <v>1006</v>
      </c>
      <c r="N10" s="94">
        <f>469-$AD$19</f>
        <v>374</v>
      </c>
      <c r="O10" s="94">
        <v>0</v>
      </c>
      <c r="P10" s="94">
        <v>0</v>
      </c>
      <c r="Q10" s="94">
        <v>0</v>
      </c>
      <c r="R10" s="94">
        <f t="shared" si="0"/>
        <v>12.262295081967213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73426.132922474426</v>
      </c>
      <c r="C11" s="91">
        <f t="shared" si="3"/>
        <v>73851.17330943112</v>
      </c>
      <c r="D11" s="91">
        <f t="shared" si="4"/>
        <v>74385.94204293903</v>
      </c>
      <c r="E11" s="91">
        <f t="shared" si="5"/>
        <v>74924.590527730397</v>
      </c>
      <c r="F11" s="91">
        <f t="shared" si="6"/>
        <v>75467.146965140186</v>
      </c>
      <c r="G11" s="91">
        <f t="shared" si="7"/>
        <v>76013.639761858984</v>
      </c>
      <c r="H11" s="91">
        <f t="shared" si="8"/>
        <v>76564.097531483334</v>
      </c>
      <c r="I11" s="91">
        <f t="shared" si="9"/>
        <v>77118.549095978786</v>
      </c>
      <c r="J11" s="91">
        <f t="shared" si="10"/>
        <v>77677.023487229788</v>
      </c>
      <c r="K11" s="91">
        <f t="shared" si="11"/>
        <v>78239.549948578395</v>
      </c>
      <c r="L11" s="91">
        <f t="shared" si="12"/>
        <v>74924.590527730397</v>
      </c>
      <c r="M11" s="90" t="s">
        <v>1010</v>
      </c>
      <c r="N11" s="90">
        <f>622-$AD$19</f>
        <v>527</v>
      </c>
      <c r="O11" s="90">
        <v>0</v>
      </c>
      <c r="P11" s="90">
        <v>0</v>
      </c>
      <c r="Q11" s="90">
        <v>0</v>
      </c>
      <c r="R11" s="90">
        <f t="shared" si="0"/>
        <v>17.278688524590162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90835.023968582114</v>
      </c>
      <c r="C12" s="93">
        <f>$S12/(1+($AC$3-$O12+$P12)/36500)^$N12</f>
        <v>90998.3300047144</v>
      </c>
      <c r="D12" s="93">
        <f t="shared" si="4"/>
        <v>91202.878005241189</v>
      </c>
      <c r="E12" s="93">
        <f t="shared" si="5"/>
        <v>91407.888603075102</v>
      </c>
      <c r="F12" s="93">
        <f t="shared" si="6"/>
        <v>91613.362850766745</v>
      </c>
      <c r="G12" s="93">
        <f t="shared" si="7"/>
        <v>91819.301803266178</v>
      </c>
      <c r="H12" s="93">
        <f t="shared" si="8"/>
        <v>92025.706517948231</v>
      </c>
      <c r="I12" s="93">
        <f t="shared" si="9"/>
        <v>92232.578054600352</v>
      </c>
      <c r="J12" s="93">
        <f t="shared" si="10"/>
        <v>92439.917475439317</v>
      </c>
      <c r="K12" s="93">
        <f t="shared" si="11"/>
        <v>92647.725845119261</v>
      </c>
      <c r="L12" s="93">
        <f t="shared" si="12"/>
        <v>91407.888603075102</v>
      </c>
      <c r="M12" s="92" t="s">
        <v>1011</v>
      </c>
      <c r="N12" s="92">
        <f>259-$AD$19</f>
        <v>164</v>
      </c>
      <c r="O12" s="92">
        <v>0</v>
      </c>
      <c r="P12" s="92">
        <v>0</v>
      </c>
      <c r="Q12" s="92">
        <v>0</v>
      </c>
      <c r="R12" s="92">
        <f t="shared" si="0"/>
        <v>5.3770491803278686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70764.236874820068</v>
      </c>
      <c r="C13" s="95">
        <f t="shared" si="3"/>
        <v>71222.996038868863</v>
      </c>
      <c r="D13" s="95">
        <f t="shared" si="4"/>
        <v>71800.636726118508</v>
      </c>
      <c r="E13" s="95">
        <f t="shared" si="5"/>
        <v>72382.970264180258</v>
      </c>
      <c r="F13" s="95">
        <f t="shared" si="6"/>
        <v>72970.034843617308</v>
      </c>
      <c r="G13" s="95">
        <f t="shared" si="7"/>
        <v>73561.868966290029</v>
      </c>
      <c r="H13" s="95">
        <f t="shared" si="8"/>
        <v>74158.511447954064</v>
      </c>
      <c r="I13" s="95">
        <f t="shared" si="9"/>
        <v>74760.001420773027</v>
      </c>
      <c r="J13" s="95">
        <f t="shared" si="10"/>
        <v>75366.378335934118</v>
      </c>
      <c r="K13" s="95">
        <f t="shared" si="11"/>
        <v>75977.681966261123</v>
      </c>
      <c r="L13" s="95">
        <f t="shared" si="12"/>
        <v>72382.970264180258</v>
      </c>
      <c r="M13" s="94" t="s">
        <v>1012</v>
      </c>
      <c r="N13" s="94">
        <f>685-$AD$19</f>
        <v>590</v>
      </c>
      <c r="O13" s="94">
        <v>0</v>
      </c>
      <c r="P13" s="94">
        <v>0</v>
      </c>
      <c r="Q13" s="94">
        <v>0</v>
      </c>
      <c r="R13" s="94">
        <f t="shared" si="0"/>
        <v>19.344262295081968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71935.175410087162</v>
      </c>
      <c r="C14" s="91">
        <f t="shared" si="3"/>
        <v>72379.325621503202</v>
      </c>
      <c r="D14" s="91">
        <f t="shared" si="4"/>
        <v>72938.378672912106</v>
      </c>
      <c r="E14" s="91">
        <f t="shared" si="5"/>
        <v>73501.75755539308</v>
      </c>
      <c r="F14" s="91">
        <f t="shared" si="6"/>
        <v>74069.49580121426</v>
      </c>
      <c r="G14" s="91">
        <f t="shared" si="7"/>
        <v>74641.627203011041</v>
      </c>
      <c r="H14" s="91">
        <f t="shared" si="8"/>
        <v>75218.185815865654</v>
      </c>
      <c r="I14" s="91">
        <f t="shared" si="9"/>
        <v>75799.205959300409</v>
      </c>
      <c r="J14" s="91">
        <f t="shared" si="10"/>
        <v>76384.722219365372</v>
      </c>
      <c r="K14" s="91">
        <f t="shared" si="11"/>
        <v>76974.769450719425</v>
      </c>
      <c r="L14" s="91">
        <f t="shared" si="12"/>
        <v>73501.75755539308</v>
      </c>
      <c r="M14" s="90" t="s">
        <v>1013</v>
      </c>
      <c r="N14" s="90">
        <f>657-$AD$19</f>
        <v>562</v>
      </c>
      <c r="O14" s="90">
        <v>0</v>
      </c>
      <c r="P14" s="90">
        <v>0</v>
      </c>
      <c r="Q14" s="90">
        <v>0</v>
      </c>
      <c r="R14" s="90">
        <f t="shared" si="0"/>
        <v>18.42622950819672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71935.175410087162</v>
      </c>
      <c r="C15" s="93">
        <f t="shared" si="3"/>
        <v>72379.325621503202</v>
      </c>
      <c r="D15" s="93">
        <f t="shared" si="4"/>
        <v>72938.378672912106</v>
      </c>
      <c r="E15" s="93">
        <f t="shared" si="5"/>
        <v>73501.75755539308</v>
      </c>
      <c r="F15" s="93">
        <f t="shared" si="6"/>
        <v>74069.49580121426</v>
      </c>
      <c r="G15" s="93">
        <f t="shared" si="7"/>
        <v>74641.627203011041</v>
      </c>
      <c r="H15" s="93">
        <f t="shared" si="8"/>
        <v>75218.185815865654</v>
      </c>
      <c r="I15" s="93">
        <f t="shared" si="9"/>
        <v>75799.205959300409</v>
      </c>
      <c r="J15" s="93">
        <f t="shared" si="10"/>
        <v>76384.722219365372</v>
      </c>
      <c r="K15" s="93">
        <f t="shared" si="11"/>
        <v>76974.769450719425</v>
      </c>
      <c r="L15" s="93">
        <f t="shared" si="12"/>
        <v>73501.75755539308</v>
      </c>
      <c r="M15" s="92" t="s">
        <v>1013</v>
      </c>
      <c r="N15" s="92">
        <f>657-$AD$19</f>
        <v>562</v>
      </c>
      <c r="O15" s="92">
        <v>0</v>
      </c>
      <c r="P15" s="92">
        <v>0</v>
      </c>
      <c r="Q15" s="92">
        <v>0</v>
      </c>
      <c r="R15" s="92">
        <f t="shared" si="0"/>
        <v>18.42622950819672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74335.499783075007</v>
      </c>
      <c r="C16" s="95">
        <f t="shared" si="3"/>
        <v>74748.609792432107</v>
      </c>
      <c r="D16" s="95">
        <f t="shared" si="4"/>
        <v>75268.233699607139</v>
      </c>
      <c r="E16" s="95">
        <f t="shared" si="5"/>
        <v>75791.477023043524</v>
      </c>
      <c r="F16" s="95">
        <f t="shared" si="6"/>
        <v>76318.365023702107</v>
      </c>
      <c r="G16" s="95">
        <f t="shared" si="7"/>
        <v>76848.9231391715</v>
      </c>
      <c r="H16" s="95">
        <f t="shared" si="8"/>
        <v>77383.176984956095</v>
      </c>
      <c r="I16" s="95">
        <f t="shared" si="9"/>
        <v>77921.152355677827</v>
      </c>
      <c r="J16" s="95">
        <f t="shared" si="10"/>
        <v>78462.875226359305</v>
      </c>
      <c r="K16" s="95">
        <f t="shared" si="11"/>
        <v>79008.371753695115</v>
      </c>
      <c r="L16" s="95">
        <f t="shared" si="12"/>
        <v>75791.477023043524</v>
      </c>
      <c r="M16" s="94" t="s">
        <v>1003</v>
      </c>
      <c r="N16" s="94">
        <f>601-$AD$19</f>
        <v>506</v>
      </c>
      <c r="O16" s="94">
        <v>0</v>
      </c>
      <c r="P16" s="94">
        <v>0</v>
      </c>
      <c r="Q16" s="94">
        <v>0</v>
      </c>
      <c r="R16" s="94">
        <f t="shared" si="0"/>
        <v>16.590163934426229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83844.695060372396</v>
      </c>
      <c r="C17" s="91">
        <f t="shared" si="3"/>
        <v>85049.450650888728</v>
      </c>
      <c r="D17" s="91">
        <f t="shared" si="4"/>
        <v>86579.786845938477</v>
      </c>
      <c r="E17" s="91">
        <f t="shared" si="5"/>
        <v>88137.680654971889</v>
      </c>
      <c r="F17" s="91">
        <f t="shared" si="6"/>
        <v>89723.628710896839</v>
      </c>
      <c r="G17" s="91">
        <f t="shared" si="7"/>
        <v>91338.1366038259</v>
      </c>
      <c r="H17" s="91">
        <f t="shared" si="8"/>
        <v>92981.719042679702</v>
      </c>
      <c r="I17" s="91">
        <f t="shared" si="9"/>
        <v>94654.900019631372</v>
      </c>
      <c r="J17" s="91">
        <f t="shared" si="10"/>
        <v>96358.212977995077</v>
      </c>
      <c r="K17" s="91">
        <f t="shared" si="11"/>
        <v>98092.200982484195</v>
      </c>
      <c r="L17" s="91">
        <f t="shared" si="12"/>
        <v>88137.680654971889</v>
      </c>
      <c r="M17" s="90" t="s">
        <v>1018</v>
      </c>
      <c r="N17" s="90">
        <f>1397-$AD$19</f>
        <v>1302</v>
      </c>
      <c r="O17" s="90">
        <v>17</v>
      </c>
      <c r="P17" s="90">
        <f>$AI$2</f>
        <v>0.54</v>
      </c>
      <c r="Q17" s="90">
        <v>6</v>
      </c>
      <c r="R17" s="90">
        <f t="shared" si="0"/>
        <v>42.688524590163937</v>
      </c>
      <c r="S17" s="91">
        <v>100000</v>
      </c>
      <c r="T17" s="91">
        <v>96000</v>
      </c>
      <c r="U17" s="91">
        <f t="shared" si="13"/>
        <v>179847.07553799139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98831.186725798616</v>
      </c>
      <c r="C18" s="93">
        <f t="shared" si="3"/>
        <v>99340.44958728741</v>
      </c>
      <c r="D18" s="93">
        <f>$S18/(1+($AC$4-$O18+$P18)/36500)^$N18</f>
        <v>99980.727888670139</v>
      </c>
      <c r="E18" s="93">
        <f t="shared" si="5"/>
        <v>100625.14182719297</v>
      </c>
      <c r="F18" s="93">
        <f t="shared" si="6"/>
        <v>101273.7181726617</v>
      </c>
      <c r="G18" s="93">
        <f t="shared" si="7"/>
        <v>101926.48386851967</v>
      </c>
      <c r="H18" s="93">
        <f t="shared" si="8"/>
        <v>102583.46603299977</v>
      </c>
      <c r="I18" s="93">
        <f t="shared" si="9"/>
        <v>103244.69196022987</v>
      </c>
      <c r="J18" s="93">
        <f t="shared" si="10"/>
        <v>103910.18912142166</v>
      </c>
      <c r="K18" s="93">
        <f t="shared" si="11"/>
        <v>104579.98516598404</v>
      </c>
      <c r="L18" s="93">
        <f t="shared" si="12"/>
        <v>100625.14182719297</v>
      </c>
      <c r="M18" s="92" t="s">
        <v>984</v>
      </c>
      <c r="N18" s="92">
        <f>564-$AD$19</f>
        <v>469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15.377049180327869</v>
      </c>
      <c r="S18" s="93">
        <v>100000</v>
      </c>
      <c r="T18" s="93">
        <v>100000</v>
      </c>
      <c r="U18" s="93">
        <f t="shared" si="13"/>
        <v>130100.59706873541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92426.888441895164</v>
      </c>
      <c r="C19" s="95">
        <f t="shared" si="3"/>
        <v>92920.392352706185</v>
      </c>
      <c r="D19" s="95">
        <f t="shared" si="4"/>
        <v>93540.987051702818</v>
      </c>
      <c r="E19" s="95">
        <f t="shared" si="5"/>
        <v>94165.735150583583</v>
      </c>
      <c r="F19" s="95">
        <f t="shared" si="6"/>
        <v>94794.664503881184</v>
      </c>
      <c r="G19" s="95">
        <f t="shared" si="7"/>
        <v>95427.803153363304</v>
      </c>
      <c r="H19" s="95">
        <f t="shared" si="8"/>
        <v>96065.179329211707</v>
      </c>
      <c r="I19" s="95">
        <f t="shared" si="9"/>
        <v>96706.821451352138</v>
      </c>
      <c r="J19" s="95">
        <f t="shared" si="10"/>
        <v>97352.758130711751</v>
      </c>
      <c r="K19" s="95">
        <f t="shared" si="11"/>
        <v>98003.018170476164</v>
      </c>
      <c r="L19" s="95">
        <f t="shared" si="12"/>
        <v>94165.735150583583</v>
      </c>
      <c r="M19" s="94" t="s">
        <v>985</v>
      </c>
      <c r="N19" s="94">
        <f>581-$AD$19</f>
        <v>486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15.934426229508198</v>
      </c>
      <c r="S19" s="95">
        <v>100000</v>
      </c>
      <c r="T19" s="95">
        <v>92000</v>
      </c>
      <c r="U19" s="95">
        <f t="shared" si="13"/>
        <v>122888.43411878349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95</v>
      </c>
      <c r="AF19" s="26"/>
    </row>
    <row r="20" spans="1:32">
      <c r="A20" s="90" t="s">
        <v>959</v>
      </c>
      <c r="B20" s="91">
        <f>$S20/(1+($AC$2-$O20+$P20)/36500)^$N20</f>
        <v>98660.385752682603</v>
      </c>
      <c r="C20" s="91">
        <f t="shared" si="3"/>
        <v>99243.783280786171</v>
      </c>
      <c r="D20" s="91">
        <f t="shared" si="4"/>
        <v>99977.892859493251</v>
      </c>
      <c r="E20" s="91">
        <f t="shared" si="5"/>
        <v>100717.44283938417</v>
      </c>
      <c r="F20" s="91">
        <f t="shared" si="6"/>
        <v>101462.47361400932</v>
      </c>
      <c r="G20" s="91">
        <f t="shared" si="7"/>
        <v>102213.02587737585</v>
      </c>
      <c r="H20" s="91">
        <f t="shared" si="8"/>
        <v>102969.14062621321</v>
      </c>
      <c r="I20" s="91">
        <f t="shared" si="9"/>
        <v>103730.85916219396</v>
      </c>
      <c r="J20" s="91">
        <f t="shared" si="10"/>
        <v>104498.2230942586</v>
      </c>
      <c r="K20" s="91">
        <f t="shared" si="11"/>
        <v>105271.27434086186</v>
      </c>
      <c r="L20" s="91">
        <f t="shared" si="12"/>
        <v>100717.44283938417</v>
      </c>
      <c r="M20" s="90" t="s">
        <v>986</v>
      </c>
      <c r="N20" s="90">
        <f>633-$AD$19</f>
        <v>538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17.639344262295083</v>
      </c>
      <c r="S20" s="91">
        <v>100000</v>
      </c>
      <c r="T20" s="91">
        <v>100000</v>
      </c>
      <c r="U20" s="91">
        <f t="shared" si="13"/>
        <v>135235.97429384806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98492.348952272907</v>
      </c>
      <c r="C21" s="93">
        <f t="shared" si="3"/>
        <v>99148.60996483588</v>
      </c>
      <c r="D21" s="93">
        <f t="shared" si="4"/>
        <v>99975.098996346074</v>
      </c>
      <c r="E21" s="93">
        <f t="shared" si="5"/>
        <v>100808.48898920613</v>
      </c>
      <c r="F21" s="93">
        <f t="shared" si="6"/>
        <v>101648.83766032127</v>
      </c>
      <c r="G21" s="93">
        <f t="shared" si="7"/>
        <v>102496.20321010228</v>
      </c>
      <c r="H21" s="93">
        <f t="shared" si="8"/>
        <v>103350.64432655297</v>
      </c>
      <c r="I21" s="93">
        <f t="shared" si="9"/>
        <v>104212.2201893218</v>
      </c>
      <c r="J21" s="93">
        <f t="shared" si="10"/>
        <v>105080.99047388647</v>
      </c>
      <c r="K21" s="93">
        <f t="shared" si="11"/>
        <v>105957.01535566554</v>
      </c>
      <c r="L21" s="93">
        <f t="shared" si="12"/>
        <v>100808.48898920613</v>
      </c>
      <c r="M21" s="92" t="s">
        <v>987</v>
      </c>
      <c r="N21" s="92">
        <f>701-$AD$19</f>
        <v>606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19.868852459016395</v>
      </c>
      <c r="S21" s="93">
        <v>100000</v>
      </c>
      <c r="T21" s="93">
        <v>100000</v>
      </c>
      <c r="U21" s="93">
        <f t="shared" si="13"/>
        <v>140495.20840921646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93436.127411015099</v>
      </c>
      <c r="C22" s="95">
        <f t="shared" si="3"/>
        <v>94086.479487550911</v>
      </c>
      <c r="D22" s="95">
        <f t="shared" si="4"/>
        <v>94905.799094203961</v>
      </c>
      <c r="E22" s="95">
        <f t="shared" si="5"/>
        <v>95732.264832218396</v>
      </c>
      <c r="F22" s="95">
        <f t="shared" si="6"/>
        <v>96565.939129559483</v>
      </c>
      <c r="G22" s="95">
        <f t="shared" si="7"/>
        <v>97406.884960390234</v>
      </c>
      <c r="H22" s="95">
        <f t="shared" si="8"/>
        <v>98255.165849928846</v>
      </c>
      <c r="I22" s="95">
        <f t="shared" si="9"/>
        <v>99110.845879195913</v>
      </c>
      <c r="J22" s="95">
        <f t="shared" si="10"/>
        <v>99973.989689986236</v>
      </c>
      <c r="K22" s="95">
        <f t="shared" si="11"/>
        <v>100844.66248967848</v>
      </c>
      <c r="L22" s="95">
        <f t="shared" si="12"/>
        <v>95732.264832218396</v>
      </c>
      <c r="M22" s="94" t="s">
        <v>1016</v>
      </c>
      <c r="N22" s="94">
        <f>728-$AD$19</f>
        <v>633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20.754098360655739</v>
      </c>
      <c r="S22" s="95">
        <v>100000</v>
      </c>
      <c r="T22" s="95">
        <v>95000</v>
      </c>
      <c r="U22" s="95">
        <f t="shared" si="13"/>
        <v>135408.76419226659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91088.739155197749</v>
      </c>
      <c r="C23" s="91">
        <f t="shared" si="3"/>
        <v>91665.449202220145</v>
      </c>
      <c r="D23" s="91">
        <f t="shared" si="4"/>
        <v>92391.483125999381</v>
      </c>
      <c r="E23" s="91">
        <f t="shared" si="5"/>
        <v>93123.27764625955</v>
      </c>
      <c r="F23" s="91">
        <f t="shared" si="6"/>
        <v>93860.878549318557</v>
      </c>
      <c r="G23" s="91">
        <f t="shared" si="7"/>
        <v>94604.331986099773</v>
      </c>
      <c r="H23" s="91">
        <f t="shared" si="8"/>
        <v>95353.684474944297</v>
      </c>
      <c r="I23" s="91">
        <f t="shared" si="9"/>
        <v>96108.982904613207</v>
      </c>
      <c r="J23" s="91">
        <f t="shared" si="10"/>
        <v>96870.27453721824</v>
      </c>
      <c r="K23" s="91">
        <f t="shared" si="11"/>
        <v>97637.607011165237</v>
      </c>
      <c r="L23" s="91">
        <f t="shared" si="12"/>
        <v>93123.27764625955</v>
      </c>
      <c r="M23" s="90" t="s">
        <v>988</v>
      </c>
      <c r="N23" s="90">
        <f>671-$AD$19</f>
        <v>576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18.885245901639344</v>
      </c>
      <c r="S23" s="91">
        <v>100000</v>
      </c>
      <c r="T23" s="91">
        <v>90600</v>
      </c>
      <c r="U23" s="91">
        <f t="shared" si="13"/>
        <v>127669.4899598169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84433.509417054054</v>
      </c>
      <c r="C24" s="93">
        <f t="shared" si="3"/>
        <v>85260.900898017324</v>
      </c>
      <c r="D24" s="93">
        <f>$S24/(1+($AC$4-$O24+$P24)/36500)^$N24</f>
        <v>86306.564215609586</v>
      </c>
      <c r="E24" s="93">
        <f t="shared" si="5"/>
        <v>87365.066423981392</v>
      </c>
      <c r="F24" s="93">
        <f t="shared" si="6"/>
        <v>88436.565341041525</v>
      </c>
      <c r="G24" s="93">
        <f t="shared" si="7"/>
        <v>89521.220726847561</v>
      </c>
      <c r="H24" s="93">
        <f t="shared" si="8"/>
        <v>90619.194307437923</v>
      </c>
      <c r="I24" s="93">
        <f t="shared" si="9"/>
        <v>91730.649799210383</v>
      </c>
      <c r="J24" s="93">
        <f t="shared" si="10"/>
        <v>92855.75293328143</v>
      </c>
      <c r="K24" s="93">
        <f t="shared" si="11"/>
        <v>93994.671480449208</v>
      </c>
      <c r="L24" s="93">
        <f t="shared" si="12"/>
        <v>87365.066423981392</v>
      </c>
      <c r="M24" s="92" t="s">
        <v>989</v>
      </c>
      <c r="N24" s="92">
        <f>985-$AD$19</f>
        <v>890</v>
      </c>
      <c r="O24" s="92">
        <v>15</v>
      </c>
      <c r="P24" s="92">
        <f>$AI$2</f>
        <v>0.54</v>
      </c>
      <c r="Q24" s="92">
        <v>6</v>
      </c>
      <c r="R24" s="92">
        <f t="shared" si="0"/>
        <v>29.180327868852459</v>
      </c>
      <c r="S24" s="93">
        <v>100000</v>
      </c>
      <c r="T24" s="93">
        <v>85800</v>
      </c>
      <c r="U24" s="93">
        <f t="shared" si="13"/>
        <v>142254.77844448321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85463.335830259501</v>
      </c>
      <c r="C25" s="95">
        <f t="shared" si="3"/>
        <v>85714.563303781077</v>
      </c>
      <c r="D25" s="95">
        <f t="shared" si="4"/>
        <v>86029.640314338685</v>
      </c>
      <c r="E25" s="95">
        <f t="shared" si="5"/>
        <v>86345.879849773439</v>
      </c>
      <c r="F25" s="95">
        <f t="shared" si="6"/>
        <v>86663.286215410524</v>
      </c>
      <c r="G25" s="95">
        <f t="shared" si="7"/>
        <v>86981.863732563637</v>
      </c>
      <c r="H25" s="95">
        <f t="shared" si="8"/>
        <v>87301.616738625104</v>
      </c>
      <c r="I25" s="95">
        <f t="shared" si="9"/>
        <v>87622.549587098547</v>
      </c>
      <c r="J25" s="95">
        <f t="shared" si="10"/>
        <v>87944.666647676117</v>
      </c>
      <c r="K25" s="95">
        <f t="shared" si="11"/>
        <v>88267.972306302981</v>
      </c>
      <c r="L25" s="95">
        <f t="shared" si="12"/>
        <v>86345.879849773439</v>
      </c>
      <c r="M25" s="94" t="s">
        <v>990</v>
      </c>
      <c r="N25" s="94">
        <f>363-$AD$19</f>
        <v>268</v>
      </c>
      <c r="O25" s="94">
        <v>0</v>
      </c>
      <c r="P25" s="94">
        <v>0</v>
      </c>
      <c r="Q25" s="94">
        <v>0</v>
      </c>
      <c r="R25" s="94">
        <f t="shared" si="0"/>
        <v>8.7868852459016402</v>
      </c>
      <c r="S25" s="95">
        <v>100000</v>
      </c>
      <c r="T25" s="95">
        <v>82800</v>
      </c>
      <c r="U25" s="95">
        <f>B25*(1+$AC$2/36500)^N25</f>
        <v>99999.999999999985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93945.966339587991</v>
      </c>
      <c r="C26" s="91">
        <f t="shared" si="3"/>
        <v>95163.445224919342</v>
      </c>
      <c r="D26" s="91">
        <f t="shared" si="4"/>
        <v>96707.524368152153</v>
      </c>
      <c r="E26" s="91">
        <f t="shared" si="5"/>
        <v>98276.678711112487</v>
      </c>
      <c r="F26" s="91">
        <f t="shared" si="6"/>
        <v>99871.315816471892</v>
      </c>
      <c r="G26" s="91">
        <f t="shared" si="7"/>
        <v>101491.8498769466</v>
      </c>
      <c r="H26" s="91">
        <f t="shared" si="8"/>
        <v>103138.70182332319</v>
      </c>
      <c r="I26" s="91">
        <f t="shared" si="9"/>
        <v>104812.29943411346</v>
      </c>
      <c r="J26" s="91">
        <f t="shared" si="10"/>
        <v>106513.07744705181</v>
      </c>
      <c r="K26" s="91">
        <f t="shared" si="11"/>
        <v>108241.47767246515</v>
      </c>
      <c r="L26" s="91">
        <f t="shared" si="12"/>
        <v>98276.678711112487</v>
      </c>
      <c r="M26" s="90" t="s">
        <v>981</v>
      </c>
      <c r="N26" s="90">
        <f>1270-$AD$19</f>
        <v>1175</v>
      </c>
      <c r="O26" s="90">
        <v>20</v>
      </c>
      <c r="P26" s="90">
        <f>$AI$2</f>
        <v>0.54</v>
      </c>
      <c r="Q26" s="90">
        <v>6</v>
      </c>
      <c r="R26" s="90">
        <f t="shared" si="0"/>
        <v>38.524590163934427</v>
      </c>
      <c r="S26" s="91">
        <v>100000</v>
      </c>
      <c r="T26" s="91">
        <v>100000</v>
      </c>
      <c r="U26" s="91">
        <f t="shared" si="13"/>
        <v>187058.61680728401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100060.33333196031</v>
      </c>
      <c r="C27" s="93">
        <f t="shared" si="3"/>
        <v>100344.74585772157</v>
      </c>
      <c r="D27" s="93">
        <f t="shared" si="4"/>
        <v>100701.40302559503</v>
      </c>
      <c r="E27" s="93">
        <f t="shared" si="5"/>
        <v>101059.33277852062</v>
      </c>
      <c r="F27" s="93">
        <f t="shared" si="6"/>
        <v>101418.53967472726</v>
      </c>
      <c r="G27" s="93">
        <f t="shared" si="7"/>
        <v>101779.02828882277</v>
      </c>
      <c r="H27" s="93">
        <f t="shared" si="8"/>
        <v>102140.8032118776</v>
      </c>
      <c r="I27" s="93">
        <f t="shared" si="9"/>
        <v>102503.86905146357</v>
      </c>
      <c r="J27" s="93">
        <f t="shared" si="10"/>
        <v>102868.23043171946</v>
      </c>
      <c r="K27" s="93">
        <f t="shared" si="11"/>
        <v>103233.89199341368</v>
      </c>
      <c r="L27" s="93">
        <f t="shared" si="12"/>
        <v>101059.33277852062</v>
      </c>
      <c r="M27" s="92" t="s">
        <v>983</v>
      </c>
      <c r="N27" s="92">
        <f>354-$AD$19</f>
        <v>259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8.4918032786885238</v>
      </c>
      <c r="S27" s="93">
        <v>100000</v>
      </c>
      <c r="T27" s="93">
        <v>103000</v>
      </c>
      <c r="U27" s="93">
        <f t="shared" si="13"/>
        <v>116463.84646003295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99257.568345129126</v>
      </c>
      <c r="C28" s="95">
        <f t="shared" si="3"/>
        <v>100000</v>
      </c>
      <c r="D28" s="95">
        <f t="shared" si="4"/>
        <v>100935.86531697062</v>
      </c>
      <c r="E28" s="95">
        <f t="shared" si="5"/>
        <v>101880.5020735345</v>
      </c>
      <c r="F28" s="95">
        <f t="shared" si="6"/>
        <v>102833.99260226706</v>
      </c>
      <c r="G28" s="95">
        <f t="shared" si="7"/>
        <v>103796.42000965931</v>
      </c>
      <c r="H28" s="95">
        <f t="shared" si="8"/>
        <v>104767.86818349725</v>
      </c>
      <c r="I28" s="95">
        <f t="shared" si="9"/>
        <v>105748.42180011595</v>
      </c>
      <c r="J28" s="95">
        <f t="shared" si="10"/>
        <v>106738.16633188991</v>
      </c>
      <c r="K28" s="95">
        <f t="shared" si="11"/>
        <v>107737.18805469021</v>
      </c>
      <c r="L28" s="95">
        <f t="shared" si="12"/>
        <v>101880.5020735345</v>
      </c>
      <c r="M28" s="94" t="s">
        <v>1009</v>
      </c>
      <c r="N28" s="94">
        <f>775-$AD$19</f>
        <v>680</v>
      </c>
      <c r="O28" s="94">
        <v>21</v>
      </c>
      <c r="P28" s="94">
        <v>0</v>
      </c>
      <c r="Q28" s="94">
        <v>1</v>
      </c>
      <c r="R28" s="94">
        <f t="shared" si="0"/>
        <v>22.295081967213115</v>
      </c>
      <c r="S28" s="95">
        <v>100000</v>
      </c>
      <c r="T28" s="95">
        <v>104000</v>
      </c>
      <c r="U28" s="95">
        <f t="shared" si="13"/>
        <v>147863.01553286638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84596.950305307182</v>
      </c>
      <c r="C29" s="91">
        <f t="shared" si="3"/>
        <v>85750.478332209663</v>
      </c>
      <c r="D29" s="91">
        <f t="shared" si="4"/>
        <v>87214.55056743951</v>
      </c>
      <c r="E29" s="91">
        <f t="shared" si="5"/>
        <v>88703.640404612335</v>
      </c>
      <c r="F29" s="91">
        <f t="shared" si="6"/>
        <v>90218.175688009884</v>
      </c>
      <c r="G29" s="91">
        <f t="shared" si="7"/>
        <v>91758.591584885799</v>
      </c>
      <c r="H29" s="91">
        <f t="shared" si="8"/>
        <v>93325.330710837618</v>
      </c>
      <c r="I29" s="91">
        <f t="shared" si="9"/>
        <v>94918.843257254601</v>
      </c>
      <c r="J29" s="91">
        <f t="shared" si="10"/>
        <v>96539.587121401564</v>
      </c>
      <c r="K29" s="91">
        <f t="shared" si="11"/>
        <v>98188.028038100834</v>
      </c>
      <c r="L29" s="91">
        <f t="shared" si="12"/>
        <v>88703.640404612335</v>
      </c>
      <c r="M29" s="90" t="s">
        <v>1059</v>
      </c>
      <c r="N29" s="90">
        <f>1331-$AD$19</f>
        <v>1236</v>
      </c>
      <c r="O29" s="90">
        <v>17</v>
      </c>
      <c r="P29" s="90">
        <f>AI2</f>
        <v>0.54</v>
      </c>
      <c r="Q29" s="90">
        <v>6</v>
      </c>
      <c r="R29" s="90">
        <f t="shared" si="0"/>
        <v>40.524590163934427</v>
      </c>
      <c r="S29" s="91">
        <v>100000</v>
      </c>
      <c r="T29" s="91"/>
      <c r="U29" s="91">
        <f t="shared" si="13"/>
        <v>174574.98392401703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1298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8000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2448979.5755627006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4" sqref="G244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3905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3907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3908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E1" zoomScaleNormal="100" workbookViewId="0">
      <selection activeCell="J16" sqref="J1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2.7109375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3906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90222109</v>
      </c>
      <c r="G18" s="29">
        <f t="shared" si="0"/>
        <v>12256591.819000006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-6405621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80000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6405621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3910</v>
      </c>
      <c r="L25" s="43">
        <v>-500000</v>
      </c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3909</v>
      </c>
      <c r="L26" s="43">
        <v>-150000</v>
      </c>
      <c r="M26" s="2" t="s">
        <v>1144</v>
      </c>
      <c r="N26" s="3">
        <f>-L26</f>
        <v>150000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3911</v>
      </c>
      <c r="L27" s="123">
        <v>100000</v>
      </c>
      <c r="M27" s="118"/>
      <c r="N27" s="119">
        <v>0</v>
      </c>
      <c r="O27" t="s">
        <v>267</v>
      </c>
      <c r="P27" t="s">
        <v>180</v>
      </c>
      <c r="Q27" t="s">
        <v>183</v>
      </c>
      <c r="R27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234320</v>
      </c>
      <c r="M28" s="118" t="s">
        <v>3899</v>
      </c>
      <c r="N28" s="119">
        <v>22950000</v>
      </c>
      <c r="O28" s="119">
        <v>39535000</v>
      </c>
      <c r="P28" t="s">
        <v>3861</v>
      </c>
      <c r="Q28">
        <v>10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3900</v>
      </c>
      <c r="N29" s="119">
        <v>18174051</v>
      </c>
      <c r="O29" s="119">
        <v>7916000</v>
      </c>
      <c r="P29" t="s">
        <v>3901</v>
      </c>
      <c r="Q29">
        <f>Q28-10</f>
        <v>0</v>
      </c>
      <c r="R29" t="s">
        <v>3902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8300</v>
      </c>
      <c r="M30" s="118" t="s">
        <v>3898</v>
      </c>
      <c r="N30" s="119">
        <v>8317207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90222109</v>
      </c>
      <c r="M35" s="2"/>
      <c r="N35" s="3">
        <f>SUM(N16:N30)</f>
        <v>165970886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369430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147222109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2018-06-23T11:39:28Z</dcterms:modified>
</cp:coreProperties>
</file>